
<file path=[Content_Types].xml><?xml version="1.0" encoding="utf-8"?>
<Types xmlns="http://schemas.openxmlformats.org/package/2006/content-types">
  <Default Extension="vml" ContentType="application/vnd.openxmlformats-officedocument.vmlDrawing"/>
  <Default Extension="png" ContentType="image/png"/>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tabRatio="738" activeTab="2"/>
  </bookViews>
  <sheets>
    <sheet name="Ｐ-Ｑ图分析" sheetId="1" r:id="rId1"/>
    <sheet name="压铸机、合金参考资料" sheetId="2" r:id="rId2"/>
    <sheet name="学习资料" sheetId="5" r:id="rId3"/>
  </sheets>
  <definedNames>
    <definedName name="L垂直">#REF!</definedName>
    <definedName name="L水平">#REF!</definedName>
    <definedName name="_xlnm.Print_Area" localSheetId="0">'Ｐ-Ｑ图分析'!$B$1:$J$85</definedName>
    <definedName name="_xlnm.Print_Area" localSheetId="1">压铸机、合金参考资料!$A$1:$T$19</definedName>
    <definedName name="P增压">#REF!</definedName>
    <definedName name="工作点充型流量">'Ｐ-Ｑ图分析'!$C$55</definedName>
    <definedName name="工作点充型时间">'Ｐ-Ｑ图分析'!$C$54</definedName>
    <definedName name="工作点充型速度">'Ｐ-Ｑ图分析'!$C$53</definedName>
    <definedName name="工作点充型压力">'Ｐ-Ｑ图分析'!$C$56</definedName>
    <definedName name="浇道长度">#REF!</definedName>
    <definedName name="浇口厚度">'Ｐ-Ｑ图分析'!$C$35</definedName>
    <definedName name="浇口宽度_单腔">'Ｐ-Ｑ图分析'!$C$36</definedName>
    <definedName name="浇口面积_实际">'Ｐ-Ｑ图分析'!$C$38</definedName>
    <definedName name="浇口面积_有效">'Ｐ-Ｑ图分析'!$C$39</definedName>
    <definedName name="浇口系数">'Ｐ-Ｑ图分析'!$C$40</definedName>
    <definedName name="浇口形状">#REF!</definedName>
    <definedName name="浇注体积">'Ｐ-Ｑ图分析'!$C$26</definedName>
    <definedName name="浇注重量">'Ｐ-Ｑ图分析'!$C$25</definedName>
    <definedName name="流动角">'Ｐ-Ｑ图分析'!$C$37</definedName>
    <definedName name="流量系数">'Ｐ-Ｑ图分析'!$I$22</definedName>
    <definedName name="名义冲头面积">'Ｐ-Ｑ图分析'!$F$27</definedName>
    <definedName name="名义冲头直径">'Ｐ-Ｑ图分析'!$F$19</definedName>
    <definedName name="名义快压蓄能器压力">'Ｐ-Ｑ图分析'!$F$21</definedName>
    <definedName name="名义最大冲头速度">'Ｐ-Ｑ图分析'!$F$23</definedName>
    <definedName name="名义最大充型流量">'Ｐ-Ｑ图分析'!$F$24</definedName>
    <definedName name="名义最大充型压力">'Ｐ-Ｑ图分析'!$F$22</definedName>
    <definedName name="那交口厚度">#REF!</definedName>
    <definedName name="那交口宽度">#REF!</definedName>
    <definedName name="设定冲头面积">'Ｐ-Ｑ图分析'!$F$32</definedName>
    <definedName name="设定冲头直径">'Ｐ-Ｑ图分析'!$F$31</definedName>
    <definedName name="设定空压射冲头速度">'Ｐ-Ｑ图分析'!$F$43</definedName>
    <definedName name="设定空压射充型流量">'Ｐ-Ｑ图分析'!$F$42</definedName>
    <definedName name="设定快压蓄能器压力">'Ｐ-Ｑ图分析'!$F$33</definedName>
    <definedName name="设定增压压力">'Ｐ-Ｑ图分析'!$F$35</definedName>
    <definedName name="设定最大充型压力">'Ｐ-Ｑ图分析'!$F$34</definedName>
    <definedName name="设置压射速度">'Ｐ-Ｑ图分析'!$F$44</definedName>
    <definedName name="所需增压比压">'Ｐ-Ｑ图分析'!$C$30</definedName>
    <definedName name="填充体积">'Ｐ-Ｑ图分析'!$C$24</definedName>
    <definedName name="填充重量">'Ｐ-Ｑ图分析'!$C$23</definedName>
    <definedName name="型腔精度">#REF!</definedName>
    <definedName name="型腔精度值">#REF!</definedName>
    <definedName name="型腔收缩率">#REF!</definedName>
    <definedName name="型腔数量">'Ｐ-Ｑ图分析'!$C$22</definedName>
    <definedName name="型芯精度">#REF!</definedName>
    <definedName name="型芯收缩率">#REF!</definedName>
    <definedName name="压射缸直径">'Ｐ-Ｑ图分析'!$F$20</definedName>
    <definedName name="压射功率">'Ｐ-Ｑ图分析'!$C$71</definedName>
    <definedName name="压射活塞面积">'Ｐ-Ｑ图分析'!$F$28</definedName>
    <definedName name="压室充满度">'Ｐ-Ｑ图分析'!$F$36</definedName>
    <definedName name="压室长度">'Ｐ-Ｑ图分析'!$F$26</definedName>
    <definedName name="液体密度">'Ｐ-Ｑ图分析'!$I$20</definedName>
    <definedName name="已用功率百分比">'Ｐ-Ｑ图分析'!$C$73</definedName>
    <definedName name="中心距精度">#REF!</definedName>
    <definedName name="中心距收缩率">#REF!</definedName>
    <definedName name="锥度比">#REF!</definedName>
    <definedName name="最大功率">'Ｐ-Ｑ图分析'!$C$72</definedName>
    <definedName name="最大期望充型时间">'Ｐ-Ｑ图分析'!$C$46</definedName>
    <definedName name="最大期望充型速度">'Ｐ-Ｑ图分析'!$C$44</definedName>
    <definedName name="最大期望充型压力">'Ｐ-Ｑ图分析'!$C$51</definedName>
    <definedName name="最大期望填充流量">'Ｐ-Ｑ图分析'!$C$49</definedName>
    <definedName name="最大增压压力">'Ｐ-Ｑ图分析'!$F$25</definedName>
    <definedName name="最小期望充型时间">'Ｐ-Ｑ图分析'!$C$48</definedName>
    <definedName name="最小期望充型速度">'Ｐ-Ｑ图分析'!$C$45</definedName>
    <definedName name="最小期望充型压力">'Ｐ-Ｑ图分析'!$C$52</definedName>
    <definedName name="最小期望填充流量">'Ｐ-Ｑ图分析'!$C$50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liu</author>
    <author>zunjian.liu</author>
    <author>liuzunjian</author>
  </authors>
  <commentList>
    <comment ref="E19" authorId="0">
      <text>
        <r>
          <rPr>
            <b/>
            <sz val="9"/>
            <rFont val="宋体"/>
            <charset val="134"/>
          </rPr>
          <t>liu:</t>
        </r>
        <r>
          <rPr>
            <sz val="9"/>
            <rFont val="宋体"/>
            <charset val="134"/>
          </rPr>
          <t xml:space="preserve">
是该压铸机推荐的，比较适合的压射冲头直径。例如400吨压铸机，可以使用的冲头直径是60、70、80，其中70的直径是压铸机设计时性能最匹配的直径。</t>
        </r>
      </text>
    </comment>
    <comment ref="E20" authorId="0">
      <text>
        <r>
          <rPr>
            <b/>
            <sz val="9"/>
            <rFont val="宋体"/>
            <charset val="134"/>
          </rPr>
          <t>liu:</t>
        </r>
        <r>
          <rPr>
            <sz val="9"/>
            <rFont val="宋体"/>
            <charset val="134"/>
          </rPr>
          <t xml:space="preserve">
是压铸机的高速压射缸直径，由压铸机制造公司提供，或在压铸机说明书中查得。</t>
        </r>
      </text>
    </comment>
    <comment ref="H20" authorId="0">
      <text>
        <r>
          <rPr>
            <b/>
            <sz val="9"/>
            <rFont val="宋体"/>
            <charset val="134"/>
          </rPr>
          <t>liu:</t>
        </r>
        <r>
          <rPr>
            <sz val="9"/>
            <rFont val="宋体"/>
            <charset val="134"/>
          </rPr>
          <t xml:space="preserve">
一般铝合金按2.4～2.55，锌合金按5.8～6.1，镁合金按1.78～1.81</t>
        </r>
      </text>
    </comment>
    <comment ref="E21" authorId="0">
      <text>
        <r>
          <rPr>
            <b/>
            <sz val="9"/>
            <rFont val="宋体"/>
            <charset val="134"/>
          </rPr>
          <t>liu:</t>
        </r>
        <r>
          <rPr>
            <sz val="9"/>
            <rFont val="宋体"/>
            <charset val="134"/>
          </rPr>
          <t xml:space="preserve">
是压铸机设计的最大快压射蓄能器压力</t>
        </r>
      </text>
    </comment>
    <comment ref="H21" authorId="0">
      <text>
        <r>
          <rPr>
            <b/>
            <sz val="9"/>
            <rFont val="宋体"/>
            <charset val="134"/>
          </rPr>
          <t>liu:</t>
        </r>
        <r>
          <rPr>
            <sz val="9"/>
            <rFont val="宋体"/>
            <charset val="134"/>
          </rPr>
          <t xml:space="preserve">
最小流动温度，是合金液在50%半固态时的温度。</t>
        </r>
      </text>
    </comment>
    <comment ref="E22" authorId="0">
      <text>
        <r>
          <rPr>
            <b/>
            <sz val="9"/>
            <rFont val="宋体"/>
            <charset val="134"/>
          </rPr>
          <t>liu:</t>
        </r>
        <r>
          <rPr>
            <sz val="9"/>
            <rFont val="宋体"/>
            <charset val="134"/>
          </rPr>
          <t xml:space="preserve">
是压铸机设计的，高速压射时冲头推动合金液的最大充型压力。也称为高速压射比压。</t>
        </r>
      </text>
    </comment>
    <comment ref="H22" authorId="0">
      <text>
        <r>
          <rPr>
            <b/>
            <sz val="9"/>
            <rFont val="宋体"/>
            <charset val="134"/>
          </rPr>
          <t>liu:</t>
        </r>
        <r>
          <rPr>
            <sz val="9"/>
            <rFont val="宋体"/>
            <charset val="134"/>
          </rPr>
          <t xml:space="preserve">
选择范围是0.4～0.6，根据浇注系统的阻力大小选用，阻力较大时选较小的值。</t>
        </r>
      </text>
    </comment>
    <comment ref="E23" authorId="0">
      <text>
        <r>
          <rPr>
            <b/>
            <sz val="9"/>
            <rFont val="宋体"/>
            <charset val="134"/>
          </rPr>
          <t>liu:</t>
        </r>
        <r>
          <rPr>
            <sz val="9"/>
            <rFont val="宋体"/>
            <charset val="134"/>
          </rPr>
          <t xml:space="preserve">
是压铸机设计的最大冲头速度。是压铸机空压射时的最大压射速度，实际压铸时的速度是要小一些。</t>
        </r>
      </text>
    </comment>
    <comment ref="E29" authorId="0">
      <text>
        <r>
          <rPr>
            <b/>
            <sz val="9"/>
            <rFont val="宋体"/>
            <charset val="134"/>
          </rPr>
          <t>liu:</t>
        </r>
        <r>
          <rPr>
            <sz val="9"/>
            <rFont val="宋体"/>
            <charset val="134"/>
          </rPr>
          <t xml:space="preserve">
25%充满度时计算的最大充头直径mm</t>
        </r>
      </text>
    </comment>
    <comment ref="E30" authorId="0">
      <text>
        <r>
          <rPr>
            <b/>
            <sz val="9"/>
            <rFont val="宋体"/>
            <charset val="134"/>
          </rPr>
          <t>liu:</t>
        </r>
        <r>
          <rPr>
            <sz val="9"/>
            <rFont val="宋体"/>
            <charset val="134"/>
          </rPr>
          <t xml:space="preserve">
55%充满度时计算的最小充头直径mm
</t>
        </r>
      </text>
    </comment>
    <comment ref="B33" authorId="0">
      <text>
        <r>
          <rPr>
            <b/>
            <sz val="9"/>
            <rFont val="宋体"/>
            <charset val="134"/>
          </rPr>
          <t>liu:</t>
        </r>
        <r>
          <rPr>
            <sz val="9"/>
            <rFont val="宋体"/>
            <charset val="134"/>
          </rPr>
          <t xml:space="preserve">
是以上铸件数据所计算得到的理论内浇口面积</t>
        </r>
      </text>
    </comment>
    <comment ref="B40" authorId="0">
      <text>
        <r>
          <rPr>
            <b/>
            <sz val="9"/>
            <rFont val="宋体"/>
            <charset val="134"/>
          </rPr>
          <t>liu:</t>
        </r>
        <r>
          <rPr>
            <sz val="9"/>
            <rFont val="宋体"/>
            <charset val="134"/>
          </rPr>
          <t xml:space="preserve">
浇口系数，是内浇口的截面积与内浇口周长一半的比值。是用来考虑内浇口是否容易快速凝固。</t>
        </r>
      </text>
    </comment>
    <comment ref="B41" authorId="0">
      <text>
        <r>
          <rPr>
            <b/>
            <sz val="9"/>
            <rFont val="宋体"/>
            <charset val="134"/>
          </rPr>
          <t>liu:</t>
        </r>
        <r>
          <rPr>
            <sz val="9"/>
            <rFont val="宋体"/>
            <charset val="134"/>
          </rPr>
          <t xml:space="preserve">
模具、压铸机可以达到的最大界限冲头速度（V界限）。模具内浇口的大小，会限制冲头速度的大小。   
            V界限＝k（S内÷S冲）P冲1/2
式中：S内、S冲—内浇口及冲头的截面积，cm2；P冲—高速压射充填时冲头压铸合金液的压射比压，Kg/cm2；k—合金液阻力系数，铝合金为550、镁合金为660、锌合金为344，密度越大阻力越大。
    模具设计时需矫验：   V界限 ＞ V冲</t>
        </r>
      </text>
    </comment>
    <comment ref="C44" authorId="1">
      <text>
        <r>
          <rPr>
            <b/>
            <sz val="9"/>
            <rFont val="宋体"/>
            <charset val="134"/>
          </rPr>
          <t>zunjian.liu:</t>
        </r>
        <r>
          <rPr>
            <sz val="9"/>
            <rFont val="宋体"/>
            <charset val="134"/>
          </rPr>
          <t xml:space="preserve">
这里的5个速度和时间的期望值，自己可以根据压铸件工艺的需要，单独填写。比如使用超高速压铸，充填速度可以更高，充填时间可以更短。</t>
        </r>
      </text>
    </comment>
    <comment ref="F44" authorId="2">
      <text>
        <r>
          <rPr>
            <b/>
            <sz val="9"/>
            <rFont val="宋体"/>
            <charset val="134"/>
          </rPr>
          <t>liuzunjian:</t>
        </r>
        <r>
          <rPr>
            <sz val="9"/>
            <rFont val="宋体"/>
            <charset val="134"/>
          </rPr>
          <t xml:space="preserve">
名义最大高速压射速度的百分之多少。
例如：65</t>
        </r>
      </text>
    </comment>
    <comment ref="B53" authorId="0">
      <text>
        <r>
          <rPr>
            <b/>
            <sz val="9"/>
            <rFont val="宋体"/>
            <charset val="134"/>
          </rPr>
          <t>liu:</t>
        </r>
        <r>
          <rPr>
            <sz val="9"/>
            <rFont val="宋体"/>
            <charset val="134"/>
          </rPr>
          <t xml:space="preserve">
工作点是指机床线与模具线的交点，工作点的参数就是需要计算得到的参数。</t>
        </r>
      </text>
    </comment>
    <comment ref="C62" authorId="2">
      <text>
        <r>
          <rPr>
            <b/>
            <sz val="9"/>
            <rFont val="宋体"/>
            <charset val="134"/>
          </rPr>
          <t>liuzunjian:</t>
        </r>
        <r>
          <rPr>
            <sz val="9"/>
            <rFont val="宋体"/>
            <charset val="134"/>
          </rPr>
          <t xml:space="preserve">
滑块在抽出方向的投影面积。
这里把滑块投影面积的一半，计入分型面的投影面积。</t>
        </r>
      </text>
    </comment>
    <comment ref="C67" authorId="2">
      <text>
        <r>
          <rPr>
            <b/>
            <sz val="9"/>
            <rFont val="宋体"/>
            <charset val="134"/>
          </rPr>
          <t>liuzunjian:</t>
        </r>
        <r>
          <rPr>
            <sz val="9"/>
            <rFont val="宋体"/>
            <charset val="134"/>
          </rPr>
          <t xml:space="preserve">
增压蓄能器增压后施加给高速压射缸的油压力，推动冲头补缩运动。
是压铸在高速压射结束，又使用增压压射，高速压射缸的压力表显示的压力值。</t>
        </r>
      </text>
    </comment>
    <comment ref="C68" authorId="2">
      <text>
        <r>
          <rPr>
            <b/>
            <sz val="9"/>
            <rFont val="宋体"/>
            <charset val="134"/>
          </rPr>
          <t>liuzunjian:</t>
        </r>
        <r>
          <rPr>
            <sz val="9"/>
            <rFont val="宋体"/>
            <charset val="134"/>
          </rPr>
          <t xml:space="preserve">
是此铸件压铸生产需要的压铸机合模力的大小，也就是压铸机吨位的大小。</t>
        </r>
      </text>
    </comment>
  </commentList>
</comments>
</file>

<file path=xl/sharedStrings.xml><?xml version="1.0" encoding="utf-8"?>
<sst xmlns="http://schemas.openxmlformats.org/spreadsheetml/2006/main" count="398" uniqueCount="292">
  <si>
    <r>
      <t xml:space="preserve">                      压铸模具及压铸机</t>
    </r>
    <r>
      <rPr>
        <i/>
        <sz val="22"/>
        <rFont val="宋体"/>
        <charset val="134"/>
      </rPr>
      <t>P</t>
    </r>
    <r>
      <rPr>
        <sz val="22"/>
        <rFont val="宋体"/>
        <charset val="134"/>
      </rPr>
      <t>-</t>
    </r>
    <r>
      <rPr>
        <i/>
        <sz val="22"/>
        <rFont val="宋体"/>
        <charset val="134"/>
      </rPr>
      <t>Q</t>
    </r>
    <r>
      <rPr>
        <vertAlign val="superscript"/>
        <sz val="22"/>
        <rFont val="宋体"/>
        <charset val="134"/>
      </rPr>
      <t>2</t>
    </r>
    <r>
      <rPr>
        <sz val="22"/>
        <rFont val="宋体"/>
        <charset val="134"/>
      </rPr>
      <t xml:space="preserve">图计算分析
                         </t>
    </r>
    <r>
      <rPr>
        <sz val="18"/>
        <rFont val="宋体"/>
        <charset val="134"/>
      </rPr>
      <t>（仅供MEICC：铸造工艺设计赛使用）</t>
    </r>
    <r>
      <rPr>
        <sz val="16"/>
        <rFont val="宋体"/>
        <charset val="134"/>
      </rPr>
      <t xml:space="preserve">
    P-Q研究对象为压射高速填充阶段的合金液填充能力与充填流量的关系，关注的是压铸机与压铸模具的匹配情况，与慢压射、增压无关，能关注到铸件的表面情况，关注不到铸件的气孔、缩孔等情况。
    P-Q图，是把压铸模具的铸件及浇注系统设计的数据与压铸机的性能参数数据分别形成曲线，在曲线的交点进行对接，关注对接点的参数。要满足铸件的充填条件，要求对接点要在充填时间及充填速度合适的工艺窗口范围内。</t>
    </r>
  </si>
  <si>
    <t>说明：此表格中底色是黄色的部分，都是需要自己填写的内容、其余都是自动计算得到的值。</t>
  </si>
  <si>
    <r>
      <t>压铸机及压铸模具可行性</t>
    </r>
    <r>
      <rPr>
        <b/>
        <i/>
        <sz val="16"/>
        <rFont val="宋体"/>
        <charset val="134"/>
        <scheme val="minor"/>
      </rPr>
      <t>Ｐ</t>
    </r>
    <r>
      <rPr>
        <b/>
        <sz val="16"/>
        <rFont val="宋体"/>
        <charset val="134"/>
        <scheme val="minor"/>
      </rPr>
      <t>-</t>
    </r>
    <r>
      <rPr>
        <b/>
        <i/>
        <sz val="16"/>
        <rFont val="宋体"/>
        <charset val="134"/>
        <scheme val="minor"/>
      </rPr>
      <t>Ｑ</t>
    </r>
    <r>
      <rPr>
        <b/>
        <vertAlign val="superscript"/>
        <sz val="16"/>
        <rFont val="宋体"/>
        <charset val="134"/>
        <scheme val="minor"/>
      </rPr>
      <t>2</t>
    </r>
    <r>
      <rPr>
        <b/>
        <sz val="16"/>
        <rFont val="宋体"/>
        <charset val="134"/>
        <scheme val="minor"/>
      </rPr>
      <t>图计算分析</t>
    </r>
  </si>
  <si>
    <t>产品名称</t>
  </si>
  <si>
    <t>设　计</t>
  </si>
  <si>
    <t>档案编号</t>
  </si>
  <si>
    <t>产品图号</t>
  </si>
  <si>
    <t>审　核</t>
  </si>
  <si>
    <t>备　注</t>
  </si>
  <si>
    <t>客户名称</t>
  </si>
  <si>
    <t>铸造工艺设计赛</t>
  </si>
  <si>
    <t>日　期</t>
  </si>
  <si>
    <t xml:space="preserve"> </t>
  </si>
  <si>
    <t>铸件数据:</t>
  </si>
  <si>
    <t xml:space="preserve">压铸机数据:（压铸机厂家：       </t>
  </si>
  <si>
    <t>合金数据:</t>
  </si>
  <si>
    <t>测算单腔铸件重量  g</t>
  </si>
  <si>
    <t>压铸机型号（吨位）</t>
  </si>
  <si>
    <t>t</t>
  </si>
  <si>
    <t>合金材料名称牌号</t>
  </si>
  <si>
    <t>ADC12</t>
  </si>
  <si>
    <t>测算单腔溢流重量  g</t>
  </si>
  <si>
    <t>名义冲头直径</t>
  </si>
  <si>
    <t>mm</t>
  </si>
  <si>
    <t>合金材料固体密度</t>
  </si>
  <si>
    <r>
      <rPr>
        <sz val="12"/>
        <rFont val="宋体"/>
        <charset val="134"/>
        <scheme val="minor"/>
      </rPr>
      <t>g/cm</t>
    </r>
    <r>
      <rPr>
        <vertAlign val="superscript"/>
        <sz val="12"/>
        <rFont val="宋体"/>
        <charset val="134"/>
      </rPr>
      <t>3</t>
    </r>
  </si>
  <si>
    <t>单腔充填重量   g</t>
  </si>
  <si>
    <t>高速压射缸直径</t>
  </si>
  <si>
    <t>合金液体密度</t>
  </si>
  <si>
    <t>测算浇注系统总重量   g</t>
  </si>
  <si>
    <t>名义快压蓄能器压力</t>
  </si>
  <si>
    <r>
      <t>kg/cm</t>
    </r>
    <r>
      <rPr>
        <vertAlign val="superscript"/>
        <sz val="12"/>
        <rFont val="宋体"/>
        <charset val="134"/>
      </rPr>
      <t>2</t>
    </r>
  </si>
  <si>
    <t>最小流动温度</t>
  </si>
  <si>
    <t>℃</t>
  </si>
  <si>
    <t>型腔数量（一模几件）</t>
  </si>
  <si>
    <t>名义最大充型压力</t>
  </si>
  <si>
    <t>浇注系统流量系数</t>
  </si>
  <si>
    <t>0.4～0.6</t>
  </si>
  <si>
    <t>填充总重量   g</t>
  </si>
  <si>
    <t>名义最大高速压射速度</t>
  </si>
  <si>
    <t>m/sec</t>
  </si>
  <si>
    <t>模具型腔材料</t>
  </si>
  <si>
    <t>H13</t>
  </si>
  <si>
    <t>P20/H13</t>
  </si>
  <si>
    <r>
      <rPr>
        <sz val="12"/>
        <color rgb="FF2C10FA"/>
        <rFont val="宋体"/>
        <charset val="134"/>
        <scheme val="minor"/>
      </rPr>
      <t>填充总体积   cm</t>
    </r>
    <r>
      <rPr>
        <vertAlign val="superscript"/>
        <sz val="12"/>
        <color rgb="FF2C10FA"/>
        <rFont val="宋体"/>
        <charset val="134"/>
        <scheme val="minor"/>
      </rPr>
      <t>3</t>
    </r>
  </si>
  <si>
    <t>名义最大充型流量</t>
  </si>
  <si>
    <t>L/sec</t>
  </si>
  <si>
    <t>浇注重量   g</t>
  </si>
  <si>
    <t>高速压射缸最大增压压力</t>
  </si>
  <si>
    <r>
      <rPr>
        <sz val="12"/>
        <color rgb="FF2C10FA"/>
        <rFont val="宋体"/>
        <charset val="134"/>
        <scheme val="minor"/>
      </rPr>
      <t>浇注体积   cm</t>
    </r>
    <r>
      <rPr>
        <vertAlign val="superscript"/>
        <sz val="12"/>
        <color rgb="FF2C10FA"/>
        <rFont val="宋体"/>
        <charset val="134"/>
        <scheme val="minor"/>
      </rPr>
      <t>3</t>
    </r>
  </si>
  <si>
    <t>压室长度(含浇口套)</t>
  </si>
  <si>
    <t>铸件主体壁厚  mm</t>
  </si>
  <si>
    <t>名义冲头截面积</t>
  </si>
  <si>
    <r>
      <rPr>
        <sz val="12"/>
        <rFont val="宋体"/>
        <charset val="134"/>
        <scheme val="minor"/>
      </rPr>
      <t>cm</t>
    </r>
    <r>
      <rPr>
        <vertAlign val="superscript"/>
        <sz val="12"/>
        <rFont val="宋体"/>
        <charset val="134"/>
      </rPr>
      <t>2</t>
    </r>
  </si>
  <si>
    <t>铸件最小壁厚  mm</t>
  </si>
  <si>
    <t>高速压射活塞截面积</t>
  </si>
  <si>
    <t>浇注温度   ℃</t>
  </si>
  <si>
    <t xml:space="preserve">计算最大冲头直径 </t>
  </si>
  <si>
    <t>计算最小充填压力</t>
  </si>
  <si>
    <r>
      <rPr>
        <sz val="12"/>
        <color rgb="FF2C10FA"/>
        <rFont val="宋体"/>
        <charset val="134"/>
        <scheme val="minor"/>
      </rPr>
      <t xml:space="preserve">所需增压时的压射比压 MPa
</t>
    </r>
    <r>
      <rPr>
        <sz val="9"/>
        <color rgb="FFFF00FF"/>
        <rFont val="宋体"/>
        <charset val="134"/>
      </rPr>
      <t>（即铸造压力，根据铸件壁厚等选定）</t>
    </r>
  </si>
  <si>
    <t xml:space="preserve">计算最小冲头直径 </t>
  </si>
  <si>
    <t>计算最大充填压力</t>
  </si>
  <si>
    <t>实际设定冲头直径</t>
  </si>
  <si>
    <t>实际选用的模具数据：</t>
  </si>
  <si>
    <t>设定冲头面积</t>
  </si>
  <si>
    <t>经验计算的内浇口面积</t>
  </si>
  <si>
    <r>
      <rPr>
        <sz val="12"/>
        <rFont val="宋体"/>
        <charset val="134"/>
        <scheme val="minor"/>
      </rPr>
      <t>mm</t>
    </r>
    <r>
      <rPr>
        <vertAlign val="superscript"/>
        <sz val="12"/>
        <rFont val="宋体"/>
        <charset val="134"/>
      </rPr>
      <t>2</t>
    </r>
  </si>
  <si>
    <t>设定快压蓄能器压力</t>
  </si>
  <si>
    <t>模具温度</t>
  </si>
  <si>
    <t>设定最大充型压力</t>
  </si>
  <si>
    <t>单腔内浇口厚度</t>
  </si>
  <si>
    <t>所需高速缸增压后压力</t>
  </si>
  <si>
    <t xml:space="preserve">单腔内浇口宽度 </t>
  </si>
  <si>
    <t>压射室充满度</t>
  </si>
  <si>
    <t>%</t>
  </si>
  <si>
    <r>
      <rPr>
        <sz val="12"/>
        <color theme="1"/>
        <rFont val="宋体"/>
        <charset val="134"/>
        <scheme val="minor"/>
      </rPr>
      <t>内浇口流动角</t>
    </r>
    <r>
      <rPr>
        <sz val="9"/>
        <color indexed="14"/>
        <rFont val="宋体"/>
        <charset val="134"/>
      </rPr>
      <t>（与铸件边沿垂直方向的夹角度数）</t>
    </r>
  </si>
  <si>
    <t>度数
degrees</t>
  </si>
  <si>
    <t>高速压射行程</t>
  </si>
  <si>
    <t>内浇口总截面积（实际）</t>
  </si>
  <si>
    <t>高速压射起点</t>
  </si>
  <si>
    <t>内浇口截面积（有效）</t>
  </si>
  <si>
    <r>
      <rPr>
        <sz val="12"/>
        <color rgb="FF0000FF"/>
        <rFont val="宋体"/>
        <charset val="134"/>
        <scheme val="minor"/>
      </rPr>
      <t>慢压射最高速度</t>
    </r>
    <r>
      <rPr>
        <sz val="12"/>
        <color indexed="14"/>
        <rFont val="宋体"/>
        <charset val="134"/>
      </rPr>
      <t xml:space="preserve">
</t>
    </r>
    <r>
      <rPr>
        <sz val="9"/>
        <color indexed="14"/>
        <rFont val="宋体"/>
        <charset val="134"/>
      </rPr>
      <t>慢速匀加速后的最高速度</t>
    </r>
  </si>
  <si>
    <t>浇口系数</t>
  </si>
  <si>
    <t>慢压射加速度</t>
  </si>
  <si>
    <r>
      <rPr>
        <sz val="12"/>
        <rFont val="宋体"/>
        <charset val="134"/>
        <scheme val="minor"/>
      </rPr>
      <t>m/sec</t>
    </r>
    <r>
      <rPr>
        <vertAlign val="superscript"/>
        <sz val="12"/>
        <rFont val="宋体"/>
        <charset val="134"/>
      </rPr>
      <t>2</t>
    </r>
  </si>
  <si>
    <r>
      <rPr>
        <sz val="12"/>
        <color theme="1"/>
        <rFont val="宋体"/>
        <charset val="134"/>
        <scheme val="minor"/>
      </rPr>
      <t>模具设计界限冲头速度</t>
    </r>
    <r>
      <rPr>
        <sz val="12"/>
        <color rgb="FF00B050"/>
        <rFont val="宋体"/>
        <charset val="134"/>
        <scheme val="minor"/>
      </rPr>
      <t xml:space="preserve">
</t>
    </r>
    <r>
      <rPr>
        <sz val="9"/>
        <color indexed="14"/>
        <rFont val="宋体"/>
        <charset val="134"/>
      </rPr>
      <t>（模具内浇口大小限制，能达到的最大压射速度）</t>
    </r>
  </si>
  <si>
    <r>
      <rPr>
        <sz val="12"/>
        <color rgb="FF2C10FA"/>
        <rFont val="宋体"/>
        <charset val="134"/>
        <scheme val="minor"/>
      </rPr>
      <t xml:space="preserve">恒定慢压射速度
</t>
    </r>
    <r>
      <rPr>
        <sz val="9"/>
        <color indexed="14"/>
        <rFont val="宋体"/>
        <charset val="134"/>
      </rPr>
      <t>只用一个慢速度</t>
    </r>
  </si>
  <si>
    <t>设定空压射充型流量</t>
  </si>
  <si>
    <t>型腔填充数据：</t>
  </si>
  <si>
    <t>设定空压射冲头速度</t>
  </si>
  <si>
    <t>最大期望内浇口充填速度</t>
  </si>
  <si>
    <r>
      <rPr>
        <sz val="12"/>
        <color rgb="FF0000FF"/>
        <rFont val="宋体"/>
        <charset val="134"/>
      </rPr>
      <t xml:space="preserve">设定高速压射速度
</t>
    </r>
    <r>
      <rPr>
        <sz val="9"/>
        <color indexed="14"/>
        <rFont val="宋体"/>
        <charset val="134"/>
      </rPr>
      <t>压铸机最高速度的百分数</t>
    </r>
  </si>
  <si>
    <t>% of max</t>
  </si>
  <si>
    <t>最小期望内浇口充填速度</t>
  </si>
  <si>
    <t>设定高速压射速度</t>
  </si>
  <si>
    <t>最大期望内浇口充填时间</t>
  </si>
  <si>
    <t>msec</t>
  </si>
  <si>
    <t>件最小壁厚需要的充填时间</t>
  </si>
  <si>
    <t>最小期望充内浇口填时间</t>
  </si>
  <si>
    <t>最大期望填充流量</t>
  </si>
  <si>
    <t>最小期望填充流量</t>
  </si>
  <si>
    <t>最大期望充填压力</t>
  </si>
  <si>
    <t>MPa</t>
  </si>
  <si>
    <t>最小期望充填压力</t>
  </si>
  <si>
    <t>工作点充填速度（内浇口）</t>
  </si>
  <si>
    <r>
      <rPr>
        <sz val="10"/>
        <color theme="1"/>
        <rFont val="宋体"/>
        <charset val="134"/>
        <scheme val="minor"/>
      </rPr>
      <t>P-Q</t>
    </r>
    <r>
      <rPr>
        <sz val="10"/>
        <color theme="1"/>
        <rFont val="宋体"/>
        <charset val="134"/>
      </rPr>
      <t>数据表</t>
    </r>
  </si>
  <si>
    <t>工作点充填时间（内浇口）</t>
  </si>
  <si>
    <t>Q1</t>
  </si>
  <si>
    <r>
      <rPr>
        <sz val="10"/>
        <color theme="1"/>
        <rFont val="宋体"/>
        <charset val="134"/>
        <scheme val="minor"/>
      </rPr>
      <t>P</t>
    </r>
    <r>
      <rPr>
        <sz val="10"/>
        <color theme="1"/>
        <rFont val="宋体"/>
        <charset val="134"/>
      </rPr>
      <t>（压铸机）</t>
    </r>
  </si>
  <si>
    <r>
      <rPr>
        <sz val="10"/>
        <color theme="1"/>
        <rFont val="宋体"/>
        <charset val="134"/>
        <scheme val="minor"/>
      </rPr>
      <t>P(</t>
    </r>
    <r>
      <rPr>
        <sz val="10"/>
        <color theme="1"/>
        <rFont val="宋体"/>
        <charset val="134"/>
      </rPr>
      <t>设备设定)</t>
    </r>
  </si>
  <si>
    <t>允许最大压力</t>
  </si>
  <si>
    <t>允许最小压力</t>
  </si>
  <si>
    <t>允许最大流量</t>
  </si>
  <si>
    <t>允许最小流量</t>
  </si>
  <si>
    <t>Q2</t>
  </si>
  <si>
    <t>工艺压力</t>
  </si>
  <si>
    <t>Q3</t>
  </si>
  <si>
    <t>Q4</t>
  </si>
  <si>
    <t>工作点充填流量（内浇口）</t>
  </si>
  <si>
    <t>工作点充填压力（内浇口）</t>
  </si>
  <si>
    <t>工作点压射速度（冲头）</t>
  </si>
  <si>
    <t>投影面积</t>
  </si>
  <si>
    <r>
      <rPr>
        <sz val="11"/>
        <color theme="1"/>
        <rFont val="宋体"/>
        <charset val="134"/>
        <scheme val="minor"/>
      </rPr>
      <t>铸件投影面积</t>
    </r>
    <r>
      <rPr>
        <sz val="11"/>
        <rFont val="宋体"/>
        <charset val="134"/>
      </rPr>
      <t>(cm²)</t>
    </r>
  </si>
  <si>
    <r>
      <rPr>
        <sz val="11"/>
        <color theme="1"/>
        <rFont val="宋体"/>
        <charset val="134"/>
        <scheme val="minor"/>
      </rPr>
      <t>浇注系统投影面积</t>
    </r>
    <r>
      <rPr>
        <sz val="11"/>
        <rFont val="宋体"/>
        <charset val="134"/>
      </rPr>
      <t>(</t>
    </r>
    <r>
      <rPr>
        <sz val="11"/>
        <rFont val="宋体"/>
        <charset val="134"/>
      </rPr>
      <t>c</t>
    </r>
    <r>
      <rPr>
        <sz val="11"/>
        <rFont val="宋体"/>
        <charset val="134"/>
      </rPr>
      <t>m²)</t>
    </r>
  </si>
  <si>
    <r>
      <rPr>
        <sz val="11"/>
        <color theme="1"/>
        <rFont val="宋体"/>
        <charset val="134"/>
        <scheme val="minor"/>
      </rPr>
      <t>溢流槽投影</t>
    </r>
    <r>
      <rPr>
        <sz val="11"/>
        <rFont val="宋体"/>
        <charset val="134"/>
      </rPr>
      <t>面积(cm²)</t>
    </r>
  </si>
  <si>
    <r>
      <rPr>
        <sz val="11"/>
        <color theme="1"/>
        <rFont val="宋体"/>
        <charset val="134"/>
        <scheme val="minor"/>
      </rPr>
      <t>滑块</t>
    </r>
    <r>
      <rPr>
        <sz val="11"/>
        <rFont val="宋体"/>
        <charset val="134"/>
        <scheme val="minor"/>
      </rPr>
      <t>1</t>
    </r>
    <r>
      <rPr>
        <sz val="11"/>
        <rFont val="宋体"/>
        <charset val="134"/>
      </rPr>
      <t>端面积(cm²)</t>
    </r>
  </si>
  <si>
    <r>
      <rPr>
        <sz val="11"/>
        <color theme="1"/>
        <rFont val="宋体"/>
        <charset val="134"/>
        <scheme val="minor"/>
      </rPr>
      <t>滑块</t>
    </r>
    <r>
      <rPr>
        <sz val="11"/>
        <rFont val="宋体"/>
        <charset val="134"/>
        <scheme val="minor"/>
      </rPr>
      <t>2</t>
    </r>
    <r>
      <rPr>
        <sz val="11"/>
        <rFont val="宋体"/>
        <charset val="134"/>
      </rPr>
      <t>端面积(cm²)</t>
    </r>
  </si>
  <si>
    <r>
      <rPr>
        <sz val="11"/>
        <color theme="1"/>
        <rFont val="宋体"/>
        <charset val="134"/>
        <scheme val="minor"/>
      </rPr>
      <t>滑块</t>
    </r>
    <r>
      <rPr>
        <sz val="11"/>
        <rFont val="宋体"/>
        <charset val="134"/>
        <scheme val="minor"/>
      </rPr>
      <t>3</t>
    </r>
    <r>
      <rPr>
        <sz val="11"/>
        <rFont val="宋体"/>
        <charset val="134"/>
      </rPr>
      <t>端面积(cm²)</t>
    </r>
  </si>
  <si>
    <r>
      <rPr>
        <sz val="11"/>
        <color theme="1"/>
        <rFont val="宋体"/>
        <charset val="134"/>
        <scheme val="minor"/>
      </rPr>
      <t>滑块</t>
    </r>
    <r>
      <rPr>
        <sz val="11"/>
        <rFont val="宋体"/>
        <charset val="134"/>
        <scheme val="minor"/>
      </rPr>
      <t>4</t>
    </r>
    <r>
      <rPr>
        <sz val="11"/>
        <rFont val="宋体"/>
        <charset val="134"/>
      </rPr>
      <t>端面积(cm²)</t>
    </r>
  </si>
  <si>
    <t>合计投影面积</t>
  </si>
  <si>
    <t>锁模力，打料力计算</t>
  </si>
  <si>
    <r>
      <rPr>
        <sz val="11"/>
        <color theme="1"/>
        <rFont val="宋体"/>
        <charset val="134"/>
        <scheme val="minor"/>
      </rPr>
      <t>高速缸增压压力</t>
    </r>
    <r>
      <rPr>
        <sz val="11"/>
        <rFont val="宋体"/>
        <charset val="134"/>
      </rPr>
      <t>(Mpa)</t>
    </r>
  </si>
  <si>
    <r>
      <rPr>
        <sz val="11"/>
        <color theme="1"/>
        <rFont val="宋体"/>
        <charset val="134"/>
        <scheme val="minor"/>
      </rPr>
      <t>合（锁）模力</t>
    </r>
    <r>
      <rPr>
        <sz val="11"/>
        <rFont val="宋体"/>
        <charset val="134"/>
      </rPr>
      <t>(吨)</t>
    </r>
  </si>
  <si>
    <t xml:space="preserve">可行性评估数据:                                                                                            </t>
  </si>
  <si>
    <t>浇口面积是否满足工艺？</t>
  </si>
  <si>
    <t>YES/NO</t>
  </si>
  <si>
    <t>压射功率：</t>
  </si>
  <si>
    <t>kW</t>
  </si>
  <si>
    <t>最大功率：</t>
  </si>
  <si>
    <t>已用功率百分比</t>
  </si>
  <si>
    <t>所需增压比压（铸造压力）</t>
  </si>
  <si>
    <t>设备最大增压比压（铸造压力</t>
  </si>
  <si>
    <t>增压压力是否满足</t>
  </si>
  <si>
    <t>充型流量是否满足</t>
  </si>
  <si>
    <t>充型压力是否满足</t>
  </si>
  <si>
    <t>设备设定是否满足工艺</t>
  </si>
  <si>
    <t>备注：</t>
  </si>
  <si>
    <t>黄色框内数据需用户根据参考数据输入</t>
  </si>
  <si>
    <t>出现红框色表明数据不符合要求，需调整</t>
  </si>
  <si>
    <t>出现绿色框表明数据基本符合要求</t>
  </si>
  <si>
    <t>表5-3 根据壁厚选择内浇口速度</t>
  </si>
  <si>
    <t>铸件平均壁厚 d    mm</t>
  </si>
  <si>
    <t>内浇口速度 v  m/s</t>
  </si>
  <si>
    <t>46～55</t>
  </si>
  <si>
    <t>44～53</t>
  </si>
  <si>
    <t>42～50</t>
  </si>
  <si>
    <t>40～48</t>
  </si>
  <si>
    <t>38～46</t>
  </si>
  <si>
    <t>36～44</t>
  </si>
  <si>
    <t>34～42</t>
  </si>
  <si>
    <t>32～40</t>
  </si>
  <si>
    <t>30～37</t>
  </si>
  <si>
    <t>28～35</t>
  </si>
  <si>
    <t>26～33</t>
  </si>
  <si>
    <t>24～30</t>
  </si>
  <si>
    <t xml:space="preserve">表5-5 填充时间的选择范围 </t>
  </si>
  <si>
    <t>铸件壁厚 d  mm</t>
  </si>
  <si>
    <t>充填时间 t  sec</t>
  </si>
  <si>
    <t>0.010～0.022</t>
  </si>
  <si>
    <t>0.015～0.032</t>
  </si>
  <si>
    <t xml:space="preserve">                                                                                                                                                                                                                                                                                                                                                                                                                                                              </t>
  </si>
  <si>
    <t>0.022～0.045</t>
  </si>
  <si>
    <t>0.027～0.058</t>
  </si>
  <si>
    <t>0.032～0.072</t>
  </si>
  <si>
    <t>0.038～0.088</t>
  </si>
  <si>
    <t>0.045～0.105</t>
  </si>
  <si>
    <t>0.052～0.122</t>
  </si>
  <si>
    <t>0.060～0.140</t>
  </si>
  <si>
    <t>0.070～0.160</t>
  </si>
  <si>
    <t>0.086～0.220</t>
  </si>
  <si>
    <t>0.096～0.260</t>
  </si>
  <si>
    <t>0.108～0.300</t>
  </si>
  <si>
    <t>0.120～0.350</t>
  </si>
  <si>
    <t>内浇口速度和充填时间选用推荐值（刘遵建）</t>
  </si>
  <si>
    <t>铸件平均壁厚mm ±0.25</t>
  </si>
  <si>
    <t>内浇口速度m/s</t>
  </si>
  <si>
    <t>充填时间  sec</t>
  </si>
  <si>
    <t>充填时间最小值</t>
  </si>
  <si>
    <t>～0.8</t>
  </si>
  <si>
    <t>50～60</t>
  </si>
  <si>
    <t>0.08～0.012</t>
  </si>
  <si>
    <t>0.010～0.014</t>
  </si>
  <si>
    <t>0.014～0.020</t>
  </si>
  <si>
    <t>0.018～0.026</t>
  </si>
  <si>
    <t>0.022～0.032</t>
  </si>
  <si>
    <t>0.028～0.040</t>
  </si>
  <si>
    <t>0.034～0.050</t>
  </si>
  <si>
    <t>34～44</t>
  </si>
  <si>
    <t>0.038～0.055</t>
  </si>
  <si>
    <t>0.042～0.060</t>
  </si>
  <si>
    <t>0.048～0.072</t>
  </si>
  <si>
    <t>0.056～0.084</t>
  </si>
  <si>
    <t>26～34</t>
  </si>
  <si>
    <t>0.062～0.090</t>
  </si>
  <si>
    <t>0.078～0.096</t>
  </si>
  <si>
    <t>说明：如果采用超高速压铸工艺，内浇口速度可以达到60～90m/s。</t>
  </si>
  <si>
    <r>
      <rPr>
        <b/>
        <sz val="16"/>
        <rFont val="Times New Roman"/>
        <charset val="134"/>
      </rPr>
      <t xml:space="preserve">PRESSURE DIE CASTING DIE CULATIONS   </t>
    </r>
    <r>
      <rPr>
        <b/>
        <sz val="16"/>
        <rFont val="宋体"/>
        <charset val="134"/>
      </rPr>
      <t>压铸模具</t>
    </r>
    <r>
      <rPr>
        <b/>
        <sz val="16"/>
        <rFont val="Times New Roman"/>
        <charset val="134"/>
      </rPr>
      <t>P-Q</t>
    </r>
    <r>
      <rPr>
        <b/>
        <vertAlign val="superscript"/>
        <sz val="16"/>
        <rFont val="Times New Roman"/>
        <charset val="134"/>
      </rPr>
      <t>2</t>
    </r>
    <r>
      <rPr>
        <b/>
        <sz val="16"/>
        <rFont val="宋体"/>
        <charset val="134"/>
      </rPr>
      <t>图计算用参数</t>
    </r>
  </si>
  <si>
    <t>压铸机数据</t>
  </si>
  <si>
    <t>压铸合金参数</t>
  </si>
  <si>
    <t>机器数据</t>
  </si>
  <si>
    <t>热室或冷室压室</t>
  </si>
  <si>
    <t>快压蓄能器压力</t>
  </si>
  <si>
    <t>高速压射缸最大充填压力</t>
  </si>
  <si>
    <t>增压后高速压射缸最大压力</t>
  </si>
  <si>
    <t>最大冲头速度</t>
  </si>
  <si>
    <t>压室压射长度</t>
  </si>
  <si>
    <t>冲头压射行程</t>
  </si>
  <si>
    <t>冲头直径</t>
  </si>
  <si>
    <t>铸造面积</t>
  </si>
  <si>
    <t>压射力（增压）</t>
  </si>
  <si>
    <t>铸造压力</t>
  </si>
  <si>
    <t>系统工作压力</t>
  </si>
  <si>
    <t>低速速度</t>
  </si>
  <si>
    <t>最大浇注重量（Al）</t>
  </si>
  <si>
    <t>最大锁模力</t>
  </si>
  <si>
    <t>格林柱数量</t>
  </si>
  <si>
    <t>格林柱直径</t>
  </si>
  <si>
    <t>格林柱水平间距</t>
  </si>
  <si>
    <t>格林柱垂直间距</t>
  </si>
  <si>
    <t>压力冲击系数</t>
  </si>
  <si>
    <t>压室位置（中心向下）</t>
  </si>
  <si>
    <t>动模座板行程</t>
  </si>
  <si>
    <t>压铸模厚度</t>
  </si>
  <si>
    <t>冲头跟出行程距离</t>
  </si>
  <si>
    <t>顶出力</t>
  </si>
  <si>
    <t>合金数据代号</t>
  </si>
  <si>
    <t>名称</t>
  </si>
  <si>
    <t>成分代号</t>
  </si>
  <si>
    <t>液体密度</t>
  </si>
  <si>
    <t>固体密度</t>
  </si>
  <si>
    <t>最低流动温度</t>
  </si>
  <si>
    <t>设备代号</t>
  </si>
  <si>
    <t>吨位及说明</t>
  </si>
  <si>
    <r>
      <t>kg/cm</t>
    </r>
    <r>
      <rPr>
        <vertAlign val="superscript"/>
        <sz val="12"/>
        <rFont val="Times New Roman"/>
        <charset val="134"/>
      </rPr>
      <t>2</t>
    </r>
  </si>
  <si>
    <t>m/s</t>
  </si>
  <si>
    <r>
      <rPr>
        <sz val="12"/>
        <rFont val="Times New Roman"/>
        <charset val="134"/>
      </rPr>
      <t>cm</t>
    </r>
    <r>
      <rPr>
        <vertAlign val="superscript"/>
        <sz val="12"/>
        <rFont val="Times New Roman"/>
        <charset val="134"/>
      </rPr>
      <t>2</t>
    </r>
  </si>
  <si>
    <t>kN</t>
  </si>
  <si>
    <t>kg</t>
  </si>
  <si>
    <t>tonnes</t>
  </si>
  <si>
    <t>个</t>
  </si>
  <si>
    <t>MPa*sec/m</t>
  </si>
  <si>
    <r>
      <t>g/cm</t>
    </r>
    <r>
      <rPr>
        <vertAlign val="superscript"/>
        <sz val="12"/>
        <rFont val="Times New Roman"/>
        <charset val="134"/>
      </rPr>
      <t>3</t>
    </r>
  </si>
  <si>
    <r>
      <t>g/cm</t>
    </r>
    <r>
      <rPr>
        <vertAlign val="superscript"/>
        <sz val="12"/>
        <rFont val="宋体"/>
        <charset val="134"/>
      </rPr>
      <t>3</t>
    </r>
  </si>
  <si>
    <t>Deg.C</t>
  </si>
  <si>
    <t>力劲</t>
  </si>
  <si>
    <t>130T</t>
  </si>
  <si>
    <t>卧式冷室</t>
  </si>
  <si>
    <t>40/50/60</t>
  </si>
  <si>
    <t>160T</t>
  </si>
  <si>
    <t>200T</t>
  </si>
  <si>
    <t>50/60/70</t>
  </si>
  <si>
    <t>280T</t>
  </si>
  <si>
    <t>400T</t>
  </si>
  <si>
    <t>60/70/80</t>
  </si>
  <si>
    <t>300-700</t>
  </si>
  <si>
    <t>630T</t>
  </si>
  <si>
    <t>70/80/90</t>
  </si>
  <si>
    <t>350-850</t>
  </si>
  <si>
    <t>800T</t>
  </si>
  <si>
    <t>80/90/100</t>
  </si>
  <si>
    <t>400-950</t>
  </si>
  <si>
    <t>900T</t>
  </si>
  <si>
    <t>400-1000</t>
  </si>
  <si>
    <t>1000C</t>
  </si>
  <si>
    <t>90/100/110</t>
  </si>
  <si>
    <t>400-900</t>
  </si>
  <si>
    <t>1000T</t>
  </si>
  <si>
    <t>450-1150</t>
  </si>
  <si>
    <t>1250T</t>
  </si>
  <si>
    <t>450-1180</t>
  </si>
  <si>
    <t>1600T</t>
  </si>
  <si>
    <t>100/110/120</t>
  </si>
  <si>
    <t>500-1400</t>
  </si>
  <si>
    <t>Ｐ－Ｑ图学习资料集</t>
  </si>
  <si>
    <r>
      <t>每个模具P-Q</t>
    </r>
    <r>
      <rPr>
        <vertAlign val="superscript"/>
        <sz val="12"/>
        <rFont val="宋体"/>
        <charset val="134"/>
        <scheme val="minor"/>
      </rPr>
      <t>2</t>
    </r>
    <r>
      <rPr>
        <sz val="12"/>
        <rFont val="宋体"/>
        <charset val="134"/>
        <scheme val="minor"/>
      </rPr>
      <t>图计算，需要提供的参数项目
1.估算单腔铸件重量
2.估算单腔溢流重量
3.浇注系统总重量
4.铸件主体壁厚
5.铸件最小壁厚
6.选用铸造压力
7.单腔内浇口厚度
8.单腔内浇口宽度 
9.压铸机型号（吨位）
10.压铸机名义冲头直径
11.压铸机高速压射缸直径
12.压铸机名义快压蓄能器压力
13.压铸机冲头最大空压射速度
14.压铸机最大增压压力
15.压室有效长度(含浇口套长度，是空压射的最大运行长度)
16.铸件投影面积(cm²)
17.浇注系统投影面积(cm²)
18.溢流槽投影面积(cm²)
19.各滑块端面型腔总投影积(cm²)</t>
    </r>
  </si>
  <si>
    <r>
      <rPr>
        <sz val="12"/>
        <rFont val="宋体"/>
        <charset val="134"/>
        <scheme val="minor"/>
      </rPr>
      <t xml:space="preserve">         压铸生产中</t>
    </r>
    <r>
      <rPr>
        <sz val="16"/>
        <rFont val="宋体"/>
        <charset val="134"/>
      </rPr>
      <t>P-Q</t>
    </r>
    <r>
      <rPr>
        <vertAlign val="superscript"/>
        <sz val="16"/>
        <rFont val="宋体"/>
        <charset val="134"/>
      </rPr>
      <t>2</t>
    </r>
    <r>
      <rPr>
        <sz val="16"/>
        <rFont val="宋体"/>
        <charset val="134"/>
      </rPr>
      <t>图工艺窗口边界条件的计算（摘录）</t>
    </r>
    <r>
      <rPr>
        <sz val="12"/>
        <rFont val="宋体"/>
        <charset val="134"/>
      </rPr>
      <t xml:space="preserve">
在计算这个工艺窗口的参数之前 ，首先要明确的是 ： 
1)工艺窗口的参数是指构成工艺窗的最短填充时问、允许最长填充时间、允许的最小充填速度、设备能达到的最大充填速度 四个参数 。 
2)在 P—Q2 中的工艺窗的数值是 由特定的压铸 模具安放在特定的压铸机上，调整 了特定的工艺参数的前提下形成的这个压铸系统本身固有的特性。
3)在组成工艺窗的四条线中 ，最短填充时间是 由选定的工艺参数后模具线和设备线的交点的数值来决定的 ；是无法进行超预期选择的，除非更改工艺参数 ，鉴于最短填充时间的计算比较简单 ，不 涉及到其它繁琐的因素，在此不做过多的赘述。
</t>
    </r>
  </si>
  <si>
    <r>
      <t xml:space="preserve">       内浇口截面及合模力的计算</t>
    </r>
    <r>
      <rPr>
        <sz val="12"/>
        <rFont val="宋体"/>
        <charset val="134"/>
        <scheme val="minor"/>
      </rPr>
      <t xml:space="preserve">
  借用P-Q</t>
    </r>
    <r>
      <rPr>
        <vertAlign val="superscript"/>
        <sz val="12"/>
        <rFont val="宋体"/>
        <charset val="134"/>
        <scheme val="minor"/>
      </rPr>
      <t>2</t>
    </r>
    <r>
      <rPr>
        <sz val="12"/>
        <rFont val="宋体"/>
        <charset val="134"/>
        <scheme val="minor"/>
      </rPr>
      <t>图，使用以下方法设计和校验模具的设计参数：
1、按铸件的平均壁厚和最小壁厚，并考虑铸件质量要求，分别选择两个充填时间，选择两个内浇口速度，计算出两个大小不同的内浇口截面积，这就是内浇口截面积的大小范围。在考虑铸件的质量情况，如果薄壁难以成形，就选较大的内浇口截面积，否则，选用较小的内浇口截面积。
2、按铸件的平均壁厚和最小壁厚，并考虑铸件质量要求，自己选择内浇口充填时间的范围，选择内浇口充填速度的范围，这就是P-Q</t>
    </r>
    <r>
      <rPr>
        <vertAlign val="superscript"/>
        <sz val="12"/>
        <rFont val="宋体"/>
        <charset val="134"/>
        <scheme val="minor"/>
      </rPr>
      <t>2</t>
    </r>
    <r>
      <rPr>
        <sz val="12"/>
        <rFont val="宋体"/>
        <charset val="134"/>
        <scheme val="minor"/>
      </rPr>
      <t>图的工艺窗口范围。
3、按壁厚、复杂程度及质量要求选择铸造压力的基本大小和范围。
4、要考虑选用的铸造压力、该压铸机常用的高速压射速度、合金液在压射室的充满度大小，计算并选择压射室的直径。
5、按内浇口面积、冲头面积及充头推动合金液的压力选择内浇口的面积，并按冲头限制速度校验内浇口的面积。
4、用分型面的投影面积和铸造压力及安全系数计算合模力。</t>
    </r>
  </si>
  <si>
    <t xml:space="preserve">1 最大充填速度 
考虑 到压铸模具与压铸机的匹配性 ，此处定义的最大充填速度是指压铸机输出功率最大时，该压铸系统所能够达到的最大充填速度；可以把这个充填速度作为工艺窗的一条指标线，此时设备功率得到有效的利用，此时系统最大充填速度计算公式为[1]:
式中：Wamax 一最大充填速度，m／s；μ一流出系数，取 0.5～0.8；ρ —金属液密度，kg／m ；P—储能器压力，Pa；D—压射缸直径，mm； d0一冲头直径，mm；W0—冲头速度，m／s；Wotmax—最大空压射速度，m／s．在实际的应用当中，人们发现：在生产铝合金压铸件时，当充填速度超过60m／s时，很容易出现粘模拉伤等质量问题，因此，在计算的最大充填速度大于 60m／s时，一般以60m／s作为工艺窗的最大充填速度为宜。
</t>
  </si>
  <si>
    <r>
      <rPr>
        <sz val="12"/>
        <rFont val="宋体"/>
        <charset val="134"/>
        <scheme val="minor"/>
      </rPr>
      <t xml:space="preserve">         </t>
    </r>
    <r>
      <rPr>
        <b/>
        <sz val="16"/>
        <rFont val="宋体"/>
        <charset val="134"/>
        <scheme val="minor"/>
      </rPr>
      <t>高速压射界限速度</t>
    </r>
    <r>
      <rPr>
        <sz val="12"/>
        <rFont val="宋体"/>
        <charset val="134"/>
        <scheme val="minor"/>
      </rPr>
      <t xml:space="preserve">
   使用某模具，压铸机有一个可以达到的最大界限冲头压射速度（V界限）。模具内浇口的大小，会限制冲头速度的大小。   
            V</t>
    </r>
    <r>
      <rPr>
        <vertAlign val="subscript"/>
        <sz val="12"/>
        <rFont val="宋体"/>
        <charset val="134"/>
      </rPr>
      <t>界限</t>
    </r>
    <r>
      <rPr>
        <sz val="12"/>
        <rFont val="宋体"/>
        <charset val="134"/>
        <scheme val="minor"/>
      </rPr>
      <t>＝k（S</t>
    </r>
    <r>
      <rPr>
        <vertAlign val="subscript"/>
        <sz val="12"/>
        <rFont val="宋体"/>
        <charset val="134"/>
      </rPr>
      <t>内</t>
    </r>
    <r>
      <rPr>
        <sz val="12"/>
        <rFont val="宋体"/>
        <charset val="134"/>
        <scheme val="minor"/>
      </rPr>
      <t>÷S</t>
    </r>
    <r>
      <rPr>
        <vertAlign val="subscript"/>
        <sz val="12"/>
        <rFont val="宋体"/>
        <charset val="134"/>
      </rPr>
      <t>冲</t>
    </r>
    <r>
      <rPr>
        <sz val="12"/>
        <rFont val="宋体"/>
        <charset val="134"/>
        <scheme val="minor"/>
      </rPr>
      <t>）P</t>
    </r>
    <r>
      <rPr>
        <vertAlign val="subscript"/>
        <sz val="12"/>
        <rFont val="宋体"/>
        <charset val="134"/>
      </rPr>
      <t>冲</t>
    </r>
    <r>
      <rPr>
        <vertAlign val="superscript"/>
        <sz val="12"/>
        <rFont val="宋体"/>
        <charset val="134"/>
      </rPr>
      <t>1/2</t>
    </r>
    <r>
      <rPr>
        <sz val="12"/>
        <rFont val="宋体"/>
        <charset val="134"/>
      </rPr>
      <t xml:space="preserve">
式中：S</t>
    </r>
    <r>
      <rPr>
        <vertAlign val="subscript"/>
        <sz val="12"/>
        <rFont val="宋体"/>
        <charset val="134"/>
      </rPr>
      <t>内</t>
    </r>
    <r>
      <rPr>
        <sz val="12"/>
        <rFont val="宋体"/>
        <charset val="134"/>
      </rPr>
      <t>、S</t>
    </r>
    <r>
      <rPr>
        <vertAlign val="subscript"/>
        <sz val="12"/>
        <rFont val="宋体"/>
        <charset val="134"/>
      </rPr>
      <t>冲</t>
    </r>
    <r>
      <rPr>
        <sz val="12"/>
        <rFont val="宋体"/>
        <charset val="134"/>
      </rPr>
      <t>—内浇口及冲头的截面积，cm2；P</t>
    </r>
    <r>
      <rPr>
        <vertAlign val="subscript"/>
        <sz val="12"/>
        <rFont val="宋体"/>
        <charset val="134"/>
      </rPr>
      <t>冲</t>
    </r>
    <r>
      <rPr>
        <sz val="12"/>
        <rFont val="宋体"/>
        <charset val="134"/>
      </rPr>
      <t>—高速压射充填时冲头压铸合金液的压射比压，Kg/cm2；k—合金液阻力系数，铝合金为550、镁合金为660、锌合金为344，密度越大阻力越大。
    模具设计时需矫验，界限速度要大于所选定的压射速度：   V</t>
    </r>
    <r>
      <rPr>
        <vertAlign val="subscript"/>
        <sz val="12"/>
        <rFont val="宋体"/>
        <charset val="134"/>
      </rPr>
      <t>界限</t>
    </r>
    <r>
      <rPr>
        <sz val="12"/>
        <rFont val="宋体"/>
        <charset val="134"/>
      </rPr>
      <t xml:space="preserve"> ＞ V</t>
    </r>
    <r>
      <rPr>
        <vertAlign val="subscript"/>
        <sz val="12"/>
        <rFont val="宋体"/>
        <charset val="134"/>
      </rPr>
      <t>冲</t>
    </r>
  </si>
  <si>
    <t xml:space="preserve">2 允许最长填充时间的计算 
所谓允许最长填充时间，就是指 由压铸模具和压铸机所组成 的压铸系统，在选定的工艺参数条件下 ，系统所允许的最长的填充时间，超 出了这个时间，生产的铸件质量就可能会出问题，它的计算公式为 ：
    式中：T —压铸件允许的最长填充时间，ms；k —系数，与所用的模具材料有关，常用模具钢 H13的值为0.0346；X —压铸件平均壁厚，mm；Ti — 金属液温度，℃；Tl一金属液最低流动温度，℃；S—目标固体百分率，％；z一固体系数，％；Td—模具温度，℃．
    公式(2)中，容许固体百分系数。s确定铸件在型腔浇注时可容许的合金固化量。当金属液流经相对冷模时，它会损失对模具的热量。首先快速损失金属液的过热(即保持温度高于液相线的热量)然后潜热(即保持金属为液体状的热量)开始流人模具，当潜热从金属液中流出时，一些金属液固化。固化的部分是浮在液体上的小颗粒。系数“Js”为型腔 浇注时固化金属液量的百分比数 。 
一般来说，固化百分比(10～15)越小，表面光洁度和表面重现精度就越好。较大固化百分比(至 50)会导致较小的内孔隙度。厚铸件非常适合使用大百分比系数，但薄铸件通常采用“S”较小数值的效果较好。(铸件越薄，其加强的作用就越小，而铸件的收缩量就越均匀 )。 
    壁厚X 在式中是一个重要的系数。虽然压铸件的壁厚很少完全一致 ，但通常是几乎所有地方的壁厚是相同的，有个别部位比较薄，个别肋条，浮图饰或其它厚的部位。这样的铸件可以被认为是具有“标准”厚度，这些种类的铸件应该采用标准厚度。如果铸件有距浇口最远的薄部位，在中应采用该薄部位的厚度作为厚度系数。另一种情况是型腔薄的部位位于浇口的附近，而最厚的部位却距浇口最远。这种情况下，如果最厚的部分也是标准厚度，就应采用标准厚度。否则，通常最好的做法是使用平均厚度 。
</t>
  </si>
  <si>
    <t xml:space="preserve">3 允许的最小充填速度的计算
虽然 ，过高 的充填速度会产生卷气 、漩涡[7]，使 铸件产生气孔及氧化夹杂的缺陷 ，冲刷模具型腔加 剧模具的磨损等 问题 ，但是 ，过低 的充填速度 同样 会 带来铸件 的一 系列 质量问题 ，诸如 ：冷 隔 、欠铸等 ；那么 ，允许 的最小充填速度又与哪些 因素有关呢?G．Lieby和 L．Frommer的研究指出 ：内浇 口的厚 度影响着金属液滴的形成 ，一较薄的金属流从内浇 口射出 ，并迅速变厚 ，在极短 的时间后 形成延续伸 展的“结 ”，这个“结 ”随射 流向前运动并最终雾化 ， 金属射流从 内浇 口流出的最小充填速度为[6]：
                                                (3)
式中： Wamin一 最小充填速度 ，m／s；Vm一是液态金属的动力黏度 ，m2／s；σm一 表 面张力 ，N／m；ρm一 密度 ，kg／m ；d— 内浇口厚度 ，m。
为保证雾化要求，一般要将计算出的数值扩大 1.3～1.5倍作为工艺窗 口的参数。 
1．4 实 际案例 应 用
在计算上述工艺窗的参数之前 ，往往 已经确定 了压铸机 的各种参数 ，因此 ，完成 了上述四条工艺 窗 口边界线 的计算之后 ，就可 以画 出一个完整的 P—Q2图 了。 
下面以一个铝合金实际案例进行计算 ，并将经 验设定值列在该图示上做 出对比。 
铸件参数：材质 ADC12，壁厚 3mm，总重量 865g， 内浇 口面积 200mm2，内浇 口厚度 1．8mm． 
设备参数 ：压铸机 DCC280，压射缸直径 110mm， 最大空压射速度 6m／s（设定实际最大压身寸速度45m／s ）， 储能压力 12．5MPa，Cd：开放系数取 0．5，模具温度 200℃，浇注温度 650oC，冲头直径 60mm． 
根据上述参数 ，利用前面所列出的公式 ，可 以计 算 出这个系统所能达到的最短填充时间为 34．6ms，系统允许的最长填充时间为 54．4ms；最大充速度 54．05m／s，允许 的最小充 填速度 27．93m／s；画出 P-Q 图如图 2所示(各条线的意义参见图 1)．
</t>
  </si>
  <si>
    <r>
      <t xml:space="preserve">   图 2中的三个虚线所示 的长方形① 、② 、③ 是 依据经验值画出的工艺窗(具体数值见前 言部分 )， 这三个工艺 窗与计算得 出的工艺窗 口的差距是十 分明显的 ，这些经验值设定的工艺窗 口分别部分地 覆盖 了计算得出的工艺窗口。 
   从图 2可以看 出，工艺点 B和工艺点 F虽然分 别处于经验数据画出的工艺窗①和③中，但是 ，这 两处工艺 点已经超 出了这个压铸 系统本身 的工艺窗口范围，在这两个工艺点上是不可能生产出合格 产品的；工艺点 C和工艺点 D虽然处于这个压铸系 统本身的工艺窗 口范围，但是 ，这两个工艺点 比较接近工艺窗口的边缘 ，在压铸系统 的诸多因素(如 ： 合金液温度 、压射冲头的磨损 、模具温度 、脱模剂喷 涂量等 )发生 波动 时 ，可能导致压铸工艺超出了工 艺 窗口的范 围，造成铸件的报废 ；因此 ，最佳 的工艺 点应选 择 工艺点 D。
   这个图形 同时也揭示 了，P-Q</t>
    </r>
    <r>
      <rPr>
        <vertAlign val="superscript"/>
        <sz val="12"/>
        <rFont val="宋体"/>
        <charset val="134"/>
        <scheme val="minor"/>
      </rPr>
      <t>2</t>
    </r>
    <r>
      <rPr>
        <sz val="12"/>
        <rFont val="宋体"/>
        <charset val="134"/>
        <scheme val="minor"/>
      </rPr>
      <t xml:space="preserve"> 图实际应用中的 时而管用 ，时而失效 的原 因所在 ，从理论上解释 了 这个问题 的产 生主要在 于经验设定 的工艺窗 口与 系统本身所具有的工艺窗 口的不完全重合。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</si>
</sst>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Red]\(0.0\)"/>
    <numFmt numFmtId="178" formatCode="0_);[Red]\(0\)"/>
    <numFmt numFmtId="179" formatCode="0_ "/>
    <numFmt numFmtId="180" formatCode="0.00_);[Red]\(0.00\)"/>
    <numFmt numFmtId="181" formatCode="0.0_ "/>
  </numFmts>
  <fonts count="67">
    <font>
      <sz val="12"/>
      <name val="宋体"/>
      <charset val="134"/>
    </font>
    <font>
      <sz val="12"/>
      <name val="宋体"/>
      <charset val="134"/>
      <scheme val="minor"/>
    </font>
    <font>
      <sz val="12"/>
      <color theme="0" tint="-0.499984740745262"/>
      <name val="宋体"/>
      <charset val="134"/>
      <scheme val="minor"/>
    </font>
    <font>
      <b/>
      <sz val="18"/>
      <name val="宋体"/>
      <charset val="134"/>
      <scheme val="minor"/>
    </font>
    <font>
      <b/>
      <sz val="16"/>
      <name val="宋体"/>
      <charset val="134"/>
      <scheme val="minor"/>
    </font>
    <font>
      <b/>
      <sz val="16"/>
      <name val="Times New Roman"/>
      <charset val="134"/>
    </font>
    <font>
      <sz val="18"/>
      <name val="宋体"/>
      <charset val="134"/>
    </font>
    <font>
      <sz val="16"/>
      <name val="宋体"/>
      <charset val="134"/>
    </font>
    <font>
      <sz val="14"/>
      <name val="宋体"/>
      <charset val="134"/>
    </font>
    <font>
      <sz val="12"/>
      <name val="Times New Roman"/>
      <charset val="134"/>
    </font>
    <font>
      <sz val="22"/>
      <name val="宋体"/>
      <charset val="134"/>
    </font>
    <font>
      <sz val="16"/>
      <name val="宋体"/>
      <charset val="134"/>
      <scheme val="minor"/>
    </font>
    <font>
      <sz val="12"/>
      <color theme="1"/>
      <name val="宋体"/>
      <charset val="134"/>
      <scheme val="minor"/>
    </font>
    <font>
      <sz val="12"/>
      <color rgb="FF2C10FA"/>
      <name val="宋体"/>
      <charset val="134"/>
      <scheme val="minor"/>
    </font>
    <font>
      <sz val="10"/>
      <name val="宋体"/>
      <charset val="134"/>
      <scheme val="minor"/>
    </font>
    <font>
      <sz val="11"/>
      <name val="宋体"/>
      <charset val="134"/>
      <scheme val="minor"/>
    </font>
    <font>
      <u/>
      <sz val="12"/>
      <color rgb="FFFF0000"/>
      <name val="宋体"/>
      <charset val="134"/>
      <scheme val="minor"/>
    </font>
    <font>
      <u/>
      <sz val="12"/>
      <color indexed="12"/>
      <name val="宋体"/>
      <charset val="134"/>
      <scheme val="minor"/>
    </font>
    <font>
      <sz val="11"/>
      <color rgb="FF2C10FA"/>
      <name val="宋体"/>
      <charset val="134"/>
      <scheme val="minor"/>
    </font>
    <font>
      <sz val="12"/>
      <color rgb="FF0000FF"/>
      <name val="宋体"/>
      <charset val="134"/>
      <scheme val="minor"/>
    </font>
    <font>
      <sz val="12"/>
      <color rgb="FF00B050"/>
      <name val="宋体"/>
      <charset val="134"/>
      <scheme val="minor"/>
    </font>
    <font>
      <sz val="12"/>
      <color rgb="FF0000FF"/>
      <name val="宋体"/>
      <charset val="134"/>
    </font>
    <font>
      <sz val="12"/>
      <color rgb="FFFF0000"/>
      <name val="宋体"/>
      <charset val="134"/>
      <scheme val="minor"/>
    </font>
    <font>
      <sz val="12"/>
      <color rgb="FFF521E9"/>
      <name val="宋体"/>
      <charset val="134"/>
      <scheme val="minor"/>
    </font>
    <font>
      <sz val="10"/>
      <color theme="1"/>
      <name val="宋体"/>
      <charset val="134"/>
      <scheme val="minor"/>
    </font>
    <font>
      <sz val="11"/>
      <color theme="1"/>
      <name val="宋体"/>
      <charset val="134"/>
      <scheme val="minor"/>
    </font>
    <font>
      <sz val="12"/>
      <color indexed="12"/>
      <name val="宋体"/>
      <charset val="134"/>
      <scheme val="minor"/>
    </font>
    <font>
      <u/>
      <sz val="12"/>
      <name val="宋体"/>
      <charset val="134"/>
      <scheme val="minor"/>
    </font>
    <font>
      <sz val="11"/>
      <name val="宋体"/>
      <charset val="134"/>
    </font>
    <font>
      <sz val="11"/>
      <color rgb="FF022AD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14"/>
      <name val="宋体"/>
      <charset val="134"/>
    </font>
    <font>
      <vertAlign val="superscript"/>
      <sz val="12"/>
      <name val="宋体"/>
      <charset val="134"/>
      <scheme val="minor"/>
    </font>
    <font>
      <vertAlign val="superscript"/>
      <sz val="12"/>
      <name val="Times New Roman"/>
      <charset val="134"/>
    </font>
    <font>
      <i/>
      <sz val="22"/>
      <name val="宋体"/>
      <charset val="134"/>
    </font>
    <font>
      <vertAlign val="superscript"/>
      <sz val="22"/>
      <name val="宋体"/>
      <charset val="134"/>
    </font>
    <font>
      <vertAlign val="superscript"/>
      <sz val="12"/>
      <name val="宋体"/>
      <charset val="134"/>
    </font>
    <font>
      <vertAlign val="superscript"/>
      <sz val="12"/>
      <color rgb="FF2C10FA"/>
      <name val="宋体"/>
      <charset val="134"/>
      <scheme val="minor"/>
    </font>
    <font>
      <sz val="10"/>
      <color theme="1"/>
      <name val="宋体"/>
      <charset val="134"/>
    </font>
    <font>
      <sz val="12"/>
      <color indexed="14"/>
      <name val="宋体"/>
      <charset val="134"/>
    </font>
    <font>
      <b/>
      <i/>
      <sz val="16"/>
      <name val="宋体"/>
      <charset val="134"/>
      <scheme val="minor"/>
    </font>
    <font>
      <b/>
      <vertAlign val="superscript"/>
      <sz val="16"/>
      <name val="宋体"/>
      <charset val="134"/>
      <scheme val="minor"/>
    </font>
    <font>
      <vertAlign val="subscript"/>
      <sz val="12"/>
      <name val="宋体"/>
      <charset val="134"/>
    </font>
    <font>
      <b/>
      <sz val="16"/>
      <name val="宋体"/>
      <charset val="134"/>
    </font>
    <font>
      <b/>
      <vertAlign val="superscript"/>
      <sz val="16"/>
      <name val="Times New Roman"/>
      <charset val="134"/>
    </font>
    <font>
      <sz val="9"/>
      <color rgb="FFFF00FF"/>
      <name val="宋体"/>
      <charset val="134"/>
    </font>
    <font>
      <vertAlign val="superscript"/>
      <sz val="16"/>
      <name val="宋体"/>
      <charset val="134"/>
    </font>
    <font>
      <b/>
      <sz val="9"/>
      <name val="宋体"/>
      <charset val="134"/>
    </font>
    <font>
      <sz val="9"/>
      <name val="宋体"/>
      <charset val="134"/>
    </font>
  </fonts>
  <fills count="38">
    <fill>
      <patternFill patternType="none"/>
    </fill>
    <fill>
      <patternFill patternType="gray125"/>
    </fill>
    <fill>
      <patternFill patternType="solid">
        <fgColor theme="9" tint="0.799981688894314"/>
        <bgColor indexed="64"/>
      </patternFill>
    </fill>
    <fill>
      <patternFill patternType="solid">
        <fgColor rgb="FFFFFF00"/>
        <bgColor indexed="64"/>
      </patternFill>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top/>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8" borderId="53"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54" applyNumberFormat="0" applyFill="0" applyAlignment="0" applyProtection="0">
      <alignment vertical="center"/>
    </xf>
    <xf numFmtId="0" fontId="36" fillId="0" borderId="54" applyNumberFormat="0" applyFill="0" applyAlignment="0" applyProtection="0">
      <alignment vertical="center"/>
    </xf>
    <xf numFmtId="0" fontId="37" fillId="0" borderId="55" applyNumberFormat="0" applyFill="0" applyAlignment="0" applyProtection="0">
      <alignment vertical="center"/>
    </xf>
    <xf numFmtId="0" fontId="37" fillId="0" borderId="0" applyNumberFormat="0" applyFill="0" applyBorder="0" applyAlignment="0" applyProtection="0">
      <alignment vertical="center"/>
    </xf>
    <xf numFmtId="0" fontId="38" fillId="9" borderId="56" applyNumberFormat="0" applyAlignment="0" applyProtection="0">
      <alignment vertical="center"/>
    </xf>
    <xf numFmtId="0" fontId="39" fillId="10" borderId="57" applyNumberFormat="0" applyAlignment="0" applyProtection="0">
      <alignment vertical="center"/>
    </xf>
    <xf numFmtId="0" fontId="40" fillId="10" borderId="56" applyNumberFormat="0" applyAlignment="0" applyProtection="0">
      <alignment vertical="center"/>
    </xf>
    <xf numFmtId="0" fontId="41" fillId="11" borderId="58" applyNumberFormat="0" applyAlignment="0" applyProtection="0">
      <alignment vertical="center"/>
    </xf>
    <xf numFmtId="0" fontId="42" fillId="0" borderId="59" applyNumberFormat="0" applyFill="0" applyAlignment="0" applyProtection="0">
      <alignment vertical="center"/>
    </xf>
    <xf numFmtId="0" fontId="43" fillId="0" borderId="60" applyNumberFormat="0" applyFill="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7" fillId="35" borderId="0" applyNumberFormat="0" applyBorder="0" applyAlignment="0" applyProtection="0">
      <alignment vertical="center"/>
    </xf>
    <xf numFmtId="0" fontId="48" fillId="2" borderId="0" applyNumberFormat="0" applyBorder="0" applyAlignment="0" applyProtection="0">
      <alignment vertical="center"/>
    </xf>
    <xf numFmtId="0" fontId="48" fillId="36" borderId="0" applyNumberFormat="0" applyBorder="0" applyAlignment="0" applyProtection="0">
      <alignment vertical="center"/>
    </xf>
    <xf numFmtId="0" fontId="47" fillId="37" borderId="0" applyNumberFormat="0" applyBorder="0" applyAlignment="0" applyProtection="0">
      <alignment vertical="center"/>
    </xf>
  </cellStyleXfs>
  <cellXfs count="240">
    <xf numFmtId="0" fontId="0" fillId="0" borderId="0" xfId="0"/>
    <xf numFmtId="0" fontId="1" fillId="0" borderId="0" xfId="0" applyFont="1"/>
    <xf numFmtId="0" fontId="2" fillId="0" borderId="0" xfId="0" applyFont="1"/>
    <xf numFmtId="176" fontId="2" fillId="0" borderId="0" xfId="0" applyNumberFormat="1" applyFont="1"/>
    <xf numFmtId="0" fontId="3" fillId="0" borderId="0" xfId="0" applyFont="1" applyAlignment="1">
      <alignment horizontal="center"/>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left" wrapText="1"/>
    </xf>
    <xf numFmtId="0" fontId="4"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vertical="top" wrapText="1"/>
    </xf>
    <xf numFmtId="0" fontId="1" fillId="0" borderId="0" xfId="0" applyFont="1"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177" fontId="0" fillId="0" borderId="0" xfId="0" applyNumberFormat="1" applyAlignment="1">
      <alignment horizontal="center" vertical="center"/>
    </xf>
    <xf numFmtId="0" fontId="5" fillId="0" borderId="1" xfId="0" applyFont="1" applyBorder="1" applyAlignment="1" applyProtection="1">
      <alignment horizontal="center" vertical="center"/>
      <protection hidden="1"/>
    </xf>
    <xf numFmtId="0" fontId="5" fillId="0" borderId="2" xfId="0" applyFont="1" applyBorder="1" applyAlignment="1" applyProtection="1">
      <alignment horizontal="center" vertical="center"/>
      <protection hidden="1"/>
    </xf>
    <xf numFmtId="0" fontId="5" fillId="0" borderId="3" xfId="0" applyFont="1" applyBorder="1" applyAlignment="1" applyProtection="1">
      <alignment horizontal="center" vertical="center"/>
      <protection hidden="1"/>
    </xf>
    <xf numFmtId="0" fontId="5" fillId="0" borderId="4"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0" fontId="5" fillId="0" borderId="6" xfId="0" applyFont="1" applyBorder="1" applyAlignment="1" applyProtection="1">
      <alignment horizontal="center" vertical="center"/>
      <protection hidden="1"/>
    </xf>
    <xf numFmtId="0" fontId="6" fillId="0" borderId="0" xfId="0" applyFont="1" applyAlignment="1">
      <alignment horizontal="center" vertical="center"/>
    </xf>
    <xf numFmtId="0" fontId="7" fillId="0" borderId="0" xfId="0" applyFont="1" applyAlignment="1">
      <alignment horizontal="center" vertical="center"/>
    </xf>
    <xf numFmtId="0" fontId="8" fillId="0" borderId="7" xfId="0" applyFont="1" applyBorder="1" applyAlignment="1">
      <alignment horizontal="center" vertical="center"/>
    </xf>
    <xf numFmtId="0" fontId="0" fillId="0" borderId="8" xfId="0" applyBorder="1" applyAlignment="1">
      <alignment horizontal="center" vertical="center" wrapText="1"/>
    </xf>
    <xf numFmtId="0" fontId="0" fillId="2" borderId="8" xfId="0" applyFill="1" applyBorder="1" applyAlignment="1">
      <alignment horizontal="center" vertical="center" wrapText="1"/>
    </xf>
    <xf numFmtId="177" fontId="0" fillId="0" borderId="8" xfId="0" applyNumberForma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xf>
    <xf numFmtId="0" fontId="9" fillId="2" borderId="10" xfId="0" applyFont="1" applyFill="1" applyBorder="1" applyAlignment="1">
      <alignment horizontal="center" vertical="center"/>
    </xf>
    <xf numFmtId="0" fontId="9" fillId="0" borderId="10" xfId="0" applyFont="1" applyBorder="1" applyAlignment="1">
      <alignment horizontal="center" vertical="center"/>
    </xf>
    <xf numFmtId="177" fontId="9" fillId="0" borderId="10" xfId="0" applyNumberFormat="1" applyFont="1" applyBorder="1" applyAlignment="1">
      <alignment horizontal="center" vertical="center"/>
    </xf>
    <xf numFmtId="0" fontId="0" fillId="0" borderId="10" xfId="0" applyFont="1" applyBorder="1" applyAlignment="1">
      <alignment horizontal="center" vertical="center"/>
    </xf>
    <xf numFmtId="0" fontId="0" fillId="0" borderId="11" xfId="0" applyBorder="1" applyAlignment="1" applyProtection="1">
      <alignment horizontal="center" vertical="center"/>
      <protection locked="0"/>
    </xf>
    <xf numFmtId="0" fontId="0" fillId="2" borderId="11" xfId="0" applyFill="1" applyBorder="1" applyAlignment="1" applyProtection="1">
      <alignment horizontal="center" vertical="center"/>
      <protection locked="0"/>
    </xf>
    <xf numFmtId="0" fontId="0" fillId="2" borderId="12" xfId="0" applyFill="1"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77" fontId="0" fillId="0" borderId="11" xfId="0" applyNumberForma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3" fontId="0" fillId="2" borderId="12" xfId="0" applyNumberFormat="1" applyFill="1" applyBorder="1" applyAlignment="1" applyProtection="1">
      <alignment horizontal="center" vertical="center"/>
      <protection locked="0"/>
    </xf>
    <xf numFmtId="0" fontId="0" fillId="0" borderId="0" xfId="0" applyFont="1" applyAlignment="1">
      <alignment horizontal="center" vertical="center"/>
    </xf>
    <xf numFmtId="0" fontId="10" fillId="0" borderId="16" xfId="0" applyFont="1" applyBorder="1" applyAlignment="1" applyProtection="1">
      <alignment horizontal="left" vertical="center" wrapText="1"/>
      <protection hidden="1"/>
    </xf>
    <xf numFmtId="0" fontId="11" fillId="0" borderId="17" xfId="0" applyFont="1" applyBorder="1" applyAlignment="1" applyProtection="1">
      <alignment horizontal="left" vertical="center" wrapText="1"/>
      <protection hidden="1"/>
    </xf>
    <xf numFmtId="0" fontId="11" fillId="0" borderId="18" xfId="0" applyFont="1" applyBorder="1" applyAlignment="1" applyProtection="1">
      <alignment horizontal="left" vertical="center" wrapText="1"/>
      <protection hidden="1"/>
    </xf>
    <xf numFmtId="0" fontId="2" fillId="0" borderId="1" xfId="0" applyFont="1" applyBorder="1" applyProtection="1">
      <protection hidden="1"/>
    </xf>
    <xf numFmtId="0" fontId="10" fillId="0" borderId="19" xfId="0" applyFont="1" applyBorder="1" applyAlignment="1" applyProtection="1">
      <alignment horizontal="left" vertical="center" wrapText="1"/>
      <protection hidden="1"/>
    </xf>
    <xf numFmtId="0" fontId="11" fillId="0" borderId="0" xfId="0" applyFont="1" applyAlignment="1" applyProtection="1">
      <alignment horizontal="left" vertical="center" wrapText="1"/>
      <protection hidden="1"/>
    </xf>
    <xf numFmtId="0" fontId="11" fillId="0" borderId="20" xfId="0" applyFont="1" applyBorder="1" applyAlignment="1" applyProtection="1">
      <alignment horizontal="left" vertical="center" wrapText="1"/>
      <protection hidden="1"/>
    </xf>
    <xf numFmtId="0" fontId="2" fillId="0" borderId="21" xfId="0" applyFont="1" applyBorder="1" applyProtection="1">
      <protection hidden="1"/>
    </xf>
    <xf numFmtId="0" fontId="11" fillId="0" borderId="19" xfId="0" applyFont="1" applyBorder="1" applyAlignment="1" applyProtection="1">
      <alignment horizontal="left" vertical="center" wrapText="1"/>
      <protection hidden="1"/>
    </xf>
    <xf numFmtId="0" fontId="2" fillId="0" borderId="21" xfId="0" applyFont="1" applyBorder="1" applyAlignment="1" applyProtection="1">
      <alignment horizontal="center"/>
      <protection hidden="1"/>
    </xf>
    <xf numFmtId="0" fontId="11" fillId="0" borderId="22" xfId="0" applyFont="1" applyBorder="1" applyAlignment="1" applyProtection="1">
      <alignment horizontal="left" vertical="center" wrapText="1"/>
      <protection hidden="1"/>
    </xf>
    <xf numFmtId="0" fontId="11" fillId="0" borderId="5" xfId="0" applyFont="1" applyBorder="1" applyAlignment="1" applyProtection="1">
      <alignment horizontal="left" vertical="center" wrapText="1"/>
      <protection hidden="1"/>
    </xf>
    <xf numFmtId="0" fontId="11" fillId="0" borderId="23" xfId="0" applyFont="1" applyBorder="1" applyAlignment="1" applyProtection="1">
      <alignment horizontal="left" vertical="center" wrapText="1"/>
      <protection hidden="1"/>
    </xf>
    <xf numFmtId="176" fontId="2" fillId="0" borderId="21" xfId="0" applyNumberFormat="1" applyFont="1" applyBorder="1" applyProtection="1">
      <protection hidden="1"/>
    </xf>
    <xf numFmtId="0" fontId="11" fillId="3" borderId="24" xfId="0" applyFont="1" applyFill="1" applyBorder="1" applyAlignment="1" applyProtection="1">
      <alignment horizontal="left" vertical="center"/>
      <protection hidden="1"/>
    </xf>
    <xf numFmtId="0" fontId="11" fillId="3" borderId="2" xfId="0" applyFont="1" applyFill="1" applyBorder="1" applyAlignment="1" applyProtection="1">
      <alignment horizontal="left" vertical="center"/>
      <protection hidden="1"/>
    </xf>
    <xf numFmtId="0" fontId="11" fillId="3" borderId="25" xfId="0" applyFont="1" applyFill="1" applyBorder="1" applyAlignment="1" applyProtection="1">
      <alignment horizontal="left" vertical="center"/>
      <protection hidden="1"/>
    </xf>
    <xf numFmtId="0" fontId="11" fillId="3" borderId="19" xfId="0" applyFont="1" applyFill="1" applyBorder="1" applyAlignment="1" applyProtection="1">
      <alignment horizontal="left" vertical="center"/>
      <protection hidden="1"/>
    </xf>
    <xf numFmtId="0" fontId="11" fillId="3" borderId="0" xfId="0" applyFont="1" applyFill="1" applyAlignment="1" applyProtection="1">
      <alignment horizontal="left" vertical="center"/>
      <protection hidden="1"/>
    </xf>
    <xf numFmtId="0" fontId="11" fillId="3" borderId="20" xfId="0" applyFont="1" applyFill="1" applyBorder="1" applyAlignment="1" applyProtection="1">
      <alignment horizontal="left" vertical="center"/>
      <protection hidden="1"/>
    </xf>
    <xf numFmtId="0" fontId="4" fillId="0" borderId="7" xfId="0" applyFont="1" applyBorder="1" applyAlignment="1" applyProtection="1">
      <alignment horizontal="center" vertical="center"/>
      <protection hidden="1"/>
    </xf>
    <xf numFmtId="0" fontId="12" fillId="0" borderId="7" xfId="0" applyFont="1" applyBorder="1" applyAlignment="1" applyProtection="1">
      <alignment horizontal="center" vertical="center"/>
      <protection hidden="1"/>
    </xf>
    <xf numFmtId="0" fontId="12" fillId="4" borderId="7" xfId="0" applyFont="1" applyFill="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4" borderId="7" xfId="0" applyFont="1" applyFill="1" applyBorder="1" applyAlignment="1" applyProtection="1">
      <alignment horizontal="left" vertical="center"/>
      <protection locked="0"/>
    </xf>
    <xf numFmtId="0" fontId="12" fillId="0" borderId="7" xfId="0" applyFont="1" applyBorder="1"/>
    <xf numFmtId="0" fontId="12" fillId="0" borderId="7" xfId="0" applyFont="1" applyBorder="1" applyAlignment="1">
      <alignment horizontal="center"/>
    </xf>
    <xf numFmtId="0" fontId="1" fillId="0" borderId="19" xfId="0" applyFont="1" applyBorder="1" applyAlignment="1" applyProtection="1">
      <alignment vertical="center"/>
      <protection hidden="1"/>
    </xf>
    <xf numFmtId="0" fontId="1" fillId="0" borderId="0" xfId="0" applyFont="1" applyAlignment="1" applyProtection="1">
      <alignment vertical="center"/>
      <protection hidden="1"/>
    </xf>
    <xf numFmtId="0" fontId="1" fillId="0" borderId="20" xfId="0" applyFont="1" applyBorder="1" applyAlignment="1" applyProtection="1">
      <alignment vertical="center"/>
      <protection hidden="1"/>
    </xf>
    <xf numFmtId="0" fontId="13" fillId="0" borderId="26" xfId="0" applyFont="1" applyBorder="1" applyAlignment="1" applyProtection="1">
      <alignment horizontal="left" vertical="center"/>
      <protection hidden="1"/>
    </xf>
    <xf numFmtId="0" fontId="13" fillId="0" borderId="27" xfId="0" applyFont="1" applyBorder="1" applyAlignment="1" applyProtection="1">
      <alignment horizontal="left" vertical="center"/>
      <protection hidden="1"/>
    </xf>
    <xf numFmtId="0" fontId="13" fillId="0" borderId="17" xfId="0" applyFont="1" applyBorder="1" applyAlignment="1" applyProtection="1">
      <alignment horizontal="left" vertical="center"/>
      <protection hidden="1"/>
    </xf>
    <xf numFmtId="0" fontId="1" fillId="0" borderId="26" xfId="0" applyFont="1" applyBorder="1" applyAlignment="1" applyProtection="1">
      <alignment horizontal="left" vertical="center"/>
      <protection hidden="1"/>
    </xf>
    <xf numFmtId="0" fontId="1" fillId="0" borderId="27" xfId="0" applyFont="1" applyBorder="1" applyAlignment="1" applyProtection="1">
      <alignment horizontal="left" vertical="center"/>
      <protection hidden="1"/>
    </xf>
    <xf numFmtId="0" fontId="1" fillId="0" borderId="28" xfId="0" applyFont="1" applyBorder="1" applyAlignment="1" applyProtection="1">
      <alignment horizontal="left" vertical="center"/>
      <protection hidden="1"/>
    </xf>
    <xf numFmtId="0" fontId="13" fillId="0" borderId="29" xfId="0" applyFont="1" applyBorder="1" applyAlignment="1" applyProtection="1">
      <alignment horizontal="left" vertical="center"/>
      <protection hidden="1"/>
    </xf>
    <xf numFmtId="0" fontId="13" fillId="0" borderId="30" xfId="0" applyFont="1" applyBorder="1" applyAlignment="1" applyProtection="1">
      <alignment horizontal="left" vertical="center"/>
      <protection hidden="1"/>
    </xf>
    <xf numFmtId="0" fontId="13" fillId="0" borderId="31" xfId="0" applyFont="1" applyBorder="1" applyAlignment="1" applyProtection="1">
      <alignment horizontal="left" vertical="center"/>
      <protection hidden="1"/>
    </xf>
    <xf numFmtId="0" fontId="13" fillId="0" borderId="32" xfId="0" applyFont="1" applyBorder="1" applyAlignment="1" applyProtection="1">
      <alignment vertical="center"/>
      <protection hidden="1"/>
    </xf>
    <xf numFmtId="0" fontId="1" fillId="4" borderId="29" xfId="0" applyFont="1" applyFill="1" applyBorder="1" applyAlignment="1" applyProtection="1">
      <alignment horizontal="center" vertical="center"/>
      <protection locked="0"/>
    </xf>
    <xf numFmtId="0" fontId="1" fillId="0" borderId="33" xfId="0" applyFont="1" applyBorder="1" applyAlignment="1" applyProtection="1">
      <alignment vertical="center"/>
      <protection hidden="1"/>
    </xf>
    <xf numFmtId="0" fontId="1" fillId="0" borderId="32" xfId="0" applyFont="1" applyBorder="1" applyAlignment="1" applyProtection="1">
      <alignment vertical="center"/>
      <protection hidden="1"/>
    </xf>
    <xf numFmtId="0" fontId="1" fillId="4" borderId="7" xfId="0" applyFont="1" applyFill="1" applyBorder="1" applyAlignment="1" applyProtection="1">
      <alignment horizontal="center" vertical="center"/>
      <protection locked="0"/>
    </xf>
    <xf numFmtId="0" fontId="1" fillId="0" borderId="34" xfId="0" applyFont="1" applyBorder="1" applyAlignment="1" applyProtection="1">
      <alignment vertical="center"/>
      <protection hidden="1"/>
    </xf>
    <xf numFmtId="0" fontId="13" fillId="0" borderId="7" xfId="0" applyFont="1" applyBorder="1" applyAlignment="1" applyProtection="1">
      <alignment vertical="center"/>
      <protection hidden="1"/>
    </xf>
    <xf numFmtId="0" fontId="1" fillId="3" borderId="7" xfId="0" applyFont="1" applyFill="1" applyBorder="1" applyAlignment="1" applyProtection="1">
      <alignment horizontal="center" vertical="center"/>
      <protection locked="0"/>
    </xf>
    <xf numFmtId="0" fontId="1" fillId="0" borderId="35" xfId="0" applyFont="1" applyBorder="1" applyAlignment="1" applyProtection="1">
      <alignment vertical="center"/>
      <protection hidden="1"/>
    </xf>
    <xf numFmtId="178" fontId="1" fillId="0" borderId="29" xfId="0" applyNumberFormat="1" applyFont="1" applyBorder="1" applyAlignment="1" applyProtection="1">
      <alignment horizontal="center" vertical="center"/>
      <protection hidden="1"/>
    </xf>
    <xf numFmtId="0" fontId="1" fillId="3" borderId="29" xfId="0" applyFont="1" applyFill="1" applyBorder="1" applyAlignment="1" applyProtection="1">
      <alignment horizontal="center" vertical="center"/>
      <protection locked="0"/>
    </xf>
    <xf numFmtId="178" fontId="1" fillId="0" borderId="7" xfId="0" applyNumberFormat="1" applyFont="1" applyBorder="1" applyAlignment="1" applyProtection="1">
      <alignment horizontal="center" vertical="center"/>
      <protection hidden="1"/>
    </xf>
    <xf numFmtId="0" fontId="14" fillId="0" borderId="34" xfId="0" applyFont="1" applyBorder="1" applyAlignment="1" applyProtection="1">
      <alignment vertical="center"/>
      <protection hidden="1"/>
    </xf>
    <xf numFmtId="179" fontId="1" fillId="0" borderId="29" xfId="0" applyNumberFormat="1" applyFont="1" applyBorder="1" applyAlignment="1" applyProtection="1">
      <alignment horizontal="center" vertical="center"/>
      <protection hidden="1"/>
    </xf>
    <xf numFmtId="0" fontId="15" fillId="0" borderId="32" xfId="0" applyFont="1" applyBorder="1" applyAlignment="1" applyProtection="1">
      <alignment vertical="center"/>
      <protection hidden="1"/>
    </xf>
    <xf numFmtId="177" fontId="1" fillId="0" borderId="7" xfId="0" applyNumberFormat="1" applyFont="1" applyBorder="1" applyAlignment="1" applyProtection="1">
      <alignment horizontal="center" vertical="center"/>
      <protection hidden="1"/>
    </xf>
    <xf numFmtId="0" fontId="14" fillId="0" borderId="32" xfId="0" applyFont="1" applyBorder="1" applyAlignment="1" applyProtection="1">
      <alignment vertical="center"/>
      <protection hidden="1"/>
    </xf>
    <xf numFmtId="0" fontId="13" fillId="0" borderId="36" xfId="0" applyFont="1" applyBorder="1" applyAlignment="1" applyProtection="1">
      <alignment vertical="center"/>
      <protection hidden="1"/>
    </xf>
    <xf numFmtId="179" fontId="1" fillId="0" borderId="0" xfId="0" applyNumberFormat="1" applyFont="1" applyAlignment="1" applyProtection="1">
      <alignment horizontal="center" vertical="center"/>
      <protection hidden="1"/>
    </xf>
    <xf numFmtId="0" fontId="1" fillId="0" borderId="7" xfId="0" applyFont="1" applyBorder="1" applyAlignment="1" applyProtection="1">
      <alignment vertical="center"/>
      <protection hidden="1"/>
    </xf>
    <xf numFmtId="176" fontId="1" fillId="0" borderId="7" xfId="0" applyNumberFormat="1" applyFont="1" applyBorder="1" applyAlignment="1" applyProtection="1">
      <alignment vertical="center"/>
      <protection hidden="1"/>
    </xf>
    <xf numFmtId="0" fontId="1" fillId="0" borderId="37" xfId="0" applyFont="1" applyBorder="1" applyAlignment="1" applyProtection="1">
      <alignment vertical="center"/>
      <protection hidden="1"/>
    </xf>
    <xf numFmtId="177" fontId="1" fillId="0" borderId="8" xfId="0" applyNumberFormat="1" applyFont="1" applyBorder="1" applyAlignment="1" applyProtection="1">
      <alignment horizontal="center" vertical="center"/>
      <protection hidden="1"/>
    </xf>
    <xf numFmtId="0" fontId="1" fillId="0" borderId="32" xfId="0" applyFont="1" applyBorder="1"/>
    <xf numFmtId="179" fontId="1" fillId="0" borderId="7" xfId="0" applyNumberFormat="1" applyFont="1" applyBorder="1" applyAlignment="1">
      <alignment horizontal="center"/>
    </xf>
    <xf numFmtId="0" fontId="1" fillId="0" borderId="34" xfId="0" applyFont="1" applyBorder="1"/>
    <xf numFmtId="0" fontId="1" fillId="0" borderId="7" xfId="0" applyFont="1" applyBorder="1" applyAlignment="1">
      <alignment vertical="center"/>
    </xf>
    <xf numFmtId="176" fontId="1" fillId="0" borderId="7" xfId="0" applyNumberFormat="1" applyFont="1" applyBorder="1" applyAlignment="1" applyProtection="1">
      <alignment vertical="center"/>
      <protection locked="0"/>
    </xf>
    <xf numFmtId="0" fontId="13" fillId="0" borderId="37" xfId="0" applyFont="1" applyBorder="1" applyAlignment="1" applyProtection="1">
      <alignment vertical="center" wrapText="1"/>
      <protection hidden="1"/>
    </xf>
    <xf numFmtId="0" fontId="1" fillId="3" borderId="1" xfId="0" applyFont="1" applyFill="1" applyBorder="1" applyAlignment="1" applyProtection="1">
      <alignment horizontal="center" vertical="center"/>
      <protection locked="0"/>
    </xf>
    <xf numFmtId="0" fontId="1" fillId="0" borderId="38" xfId="0" applyFont="1" applyBorder="1" applyAlignment="1" applyProtection="1">
      <alignment vertical="center"/>
      <protection hidden="1"/>
    </xf>
    <xf numFmtId="0" fontId="1" fillId="0" borderId="39" xfId="0" applyFont="1" applyBorder="1" applyAlignment="1">
      <alignment vertical="center"/>
    </xf>
    <xf numFmtId="179" fontId="1" fillId="0" borderId="40" xfId="0" applyNumberFormat="1" applyFont="1" applyBorder="1" applyAlignment="1">
      <alignment horizontal="center" vertical="center"/>
    </xf>
    <xf numFmtId="20" fontId="1" fillId="0" borderId="41" xfId="0" applyNumberFormat="1" applyFont="1" applyBorder="1" applyAlignment="1">
      <alignment vertical="center"/>
    </xf>
    <xf numFmtId="0" fontId="16" fillId="0" borderId="42" xfId="0" applyFont="1" applyBorder="1" applyAlignment="1" applyProtection="1">
      <alignment vertical="center"/>
      <protection hidden="1"/>
    </xf>
    <xf numFmtId="0" fontId="1" fillId="0" borderId="43" xfId="0" applyFont="1" applyBorder="1" applyAlignment="1" applyProtection="1">
      <alignment horizontal="center" vertical="center"/>
      <protection locked="0"/>
    </xf>
    <xf numFmtId="0" fontId="1" fillId="0" borderId="44" xfId="0" applyFont="1" applyBorder="1" applyAlignment="1" applyProtection="1">
      <alignment vertical="center"/>
      <protection hidden="1"/>
    </xf>
    <xf numFmtId="0" fontId="13" fillId="0" borderId="42" xfId="0" applyFont="1" applyBorder="1" applyAlignment="1" applyProtection="1">
      <alignment vertical="center"/>
      <protection hidden="1"/>
    </xf>
    <xf numFmtId="0" fontId="1" fillId="3" borderId="43" xfId="0" applyFont="1" applyFill="1" applyBorder="1" applyAlignment="1" applyProtection="1">
      <alignment horizontal="center"/>
      <protection locked="0"/>
    </xf>
    <xf numFmtId="0" fontId="1" fillId="0" borderId="44" xfId="0" applyFont="1" applyBorder="1"/>
    <xf numFmtId="0" fontId="17" fillId="0" borderId="7" xfId="0" applyFont="1" applyBorder="1" applyAlignment="1" applyProtection="1">
      <alignment vertical="center"/>
      <protection hidden="1"/>
    </xf>
    <xf numFmtId="0" fontId="12" fillId="0" borderId="24" xfId="0" applyFont="1" applyBorder="1" applyAlignment="1" applyProtection="1">
      <alignment horizontal="left" vertical="center"/>
      <protection hidden="1"/>
    </xf>
    <xf numFmtId="0" fontId="17" fillId="0" borderId="2" xfId="0" applyFont="1" applyBorder="1" applyAlignment="1" applyProtection="1">
      <alignment horizontal="left" vertical="center"/>
      <protection hidden="1"/>
    </xf>
    <xf numFmtId="0" fontId="17" fillId="0" borderId="25" xfId="0" applyFont="1" applyBorder="1" applyAlignment="1" applyProtection="1">
      <alignment horizontal="left" vertical="center"/>
      <protection hidden="1"/>
    </xf>
    <xf numFmtId="0" fontId="13" fillId="0" borderId="32" xfId="0" applyFont="1" applyBorder="1"/>
    <xf numFmtId="177" fontId="1" fillId="0" borderId="7" xfId="0" applyNumberFormat="1" applyFont="1" applyBorder="1" applyAlignment="1" applyProtection="1">
      <alignment horizontal="center"/>
      <protection hidden="1"/>
    </xf>
    <xf numFmtId="177" fontId="17" fillId="0" borderId="7" xfId="0" applyNumberFormat="1" applyFont="1" applyBorder="1" applyAlignment="1" applyProtection="1">
      <alignment vertical="center"/>
      <protection hidden="1"/>
    </xf>
    <xf numFmtId="0" fontId="1" fillId="0" borderId="7" xfId="0" applyFont="1" applyBorder="1" applyAlignment="1" applyProtection="1">
      <alignment horizontal="center" vertical="center"/>
      <protection locked="0"/>
    </xf>
    <xf numFmtId="0" fontId="12" fillId="0" borderId="32" xfId="0" applyFont="1" applyBorder="1" applyAlignment="1" applyProtection="1">
      <alignment horizontal="left" vertical="center"/>
      <protection hidden="1"/>
    </xf>
    <xf numFmtId="0" fontId="1" fillId="3" borderId="7" xfId="0" applyFont="1" applyFill="1" applyBorder="1" applyAlignment="1" applyProtection="1">
      <alignment horizontal="center"/>
      <protection locked="0"/>
    </xf>
    <xf numFmtId="0" fontId="12" fillId="0" borderId="45" xfId="0" applyFont="1" applyBorder="1" applyAlignment="1" applyProtection="1">
      <alignment vertical="center"/>
      <protection hidden="1"/>
    </xf>
    <xf numFmtId="0" fontId="1" fillId="0" borderId="46" xfId="0" applyFont="1" applyBorder="1" applyAlignment="1" applyProtection="1">
      <alignment vertical="center"/>
      <protection hidden="1"/>
    </xf>
    <xf numFmtId="0" fontId="12" fillId="0" borderId="32" xfId="0" applyFont="1" applyBorder="1" applyAlignment="1" applyProtection="1">
      <alignment vertical="center"/>
      <protection hidden="1"/>
    </xf>
    <xf numFmtId="0" fontId="18" fillId="0" borderId="32" xfId="0" applyFont="1" applyBorder="1" applyAlignment="1" applyProtection="1">
      <alignment vertical="center"/>
      <protection hidden="1"/>
    </xf>
    <xf numFmtId="0" fontId="12" fillId="0" borderId="32" xfId="0" applyFont="1" applyBorder="1" applyAlignment="1" applyProtection="1">
      <alignment vertical="center" wrapText="1"/>
      <protection hidden="1"/>
    </xf>
    <xf numFmtId="0" fontId="1" fillId="0" borderId="34" xfId="0" applyFont="1" applyBorder="1" applyAlignment="1" applyProtection="1">
      <alignment vertical="center" wrapText="1"/>
      <protection hidden="1"/>
    </xf>
    <xf numFmtId="0" fontId="19" fillId="0" borderId="32" xfId="0" applyFont="1" applyBorder="1" applyAlignment="1">
      <alignment vertical="center"/>
    </xf>
    <xf numFmtId="179" fontId="1" fillId="0" borderId="7" xfId="0" applyNumberFormat="1" applyFont="1" applyBorder="1" applyAlignment="1">
      <alignment horizontal="center" vertical="center"/>
    </xf>
    <xf numFmtId="0" fontId="1" fillId="0" borderId="34" xfId="0" applyFont="1" applyBorder="1" applyAlignment="1">
      <alignment vertical="center"/>
    </xf>
    <xf numFmtId="179" fontId="1" fillId="0" borderId="7" xfId="0" applyNumberFormat="1" applyFont="1" applyBorder="1" applyAlignment="1" applyProtection="1">
      <alignment horizontal="center" vertical="center"/>
      <protection hidden="1"/>
    </xf>
    <xf numFmtId="0" fontId="19" fillId="0" borderId="32" xfId="0" applyFont="1" applyBorder="1" applyAlignment="1" applyProtection="1">
      <alignment vertical="center"/>
      <protection hidden="1"/>
    </xf>
    <xf numFmtId="179" fontId="1" fillId="0" borderId="8" xfId="0" applyNumberFormat="1" applyFont="1" applyBorder="1" applyAlignment="1" applyProtection="1">
      <alignment horizontal="center" vertical="center"/>
      <protection hidden="1"/>
    </xf>
    <xf numFmtId="0" fontId="19" fillId="0" borderId="32" xfId="0" applyFont="1" applyBorder="1" applyAlignment="1" applyProtection="1">
      <alignment vertical="center" wrapText="1"/>
      <protection hidden="1"/>
    </xf>
    <xf numFmtId="180" fontId="1" fillId="0" borderId="7" xfId="0" applyNumberFormat="1" applyFont="1" applyBorder="1" applyAlignment="1" applyProtection="1">
      <alignment horizontal="center" vertical="center"/>
      <protection hidden="1"/>
    </xf>
    <xf numFmtId="0" fontId="12" fillId="0" borderId="24" xfId="0" applyFont="1" applyBorder="1" applyAlignment="1" applyProtection="1">
      <alignment vertical="center"/>
      <protection hidden="1"/>
    </xf>
    <xf numFmtId="0" fontId="1" fillId="0" borderId="25" xfId="0" applyFont="1" applyBorder="1" applyAlignment="1" applyProtection="1">
      <alignment vertical="center"/>
      <protection hidden="1"/>
    </xf>
    <xf numFmtId="0" fontId="13" fillId="0" borderId="32" xfId="0" applyFont="1" applyBorder="1" applyAlignment="1">
      <alignment vertical="center" wrapText="1"/>
    </xf>
    <xf numFmtId="176" fontId="1" fillId="0" borderId="7" xfId="0" applyNumberFormat="1" applyFont="1" applyBorder="1" applyAlignment="1">
      <alignment horizontal="center" vertical="center"/>
    </xf>
    <xf numFmtId="0" fontId="20" fillId="0" borderId="39" xfId="0" applyFont="1" applyBorder="1" applyAlignment="1" applyProtection="1">
      <alignment vertical="center"/>
      <protection hidden="1"/>
    </xf>
    <xf numFmtId="177" fontId="1" fillId="0" borderId="40" xfId="0" applyNumberFormat="1" applyFont="1" applyBorder="1" applyAlignment="1" applyProtection="1">
      <alignment horizontal="center" vertical="center"/>
      <protection hidden="1"/>
    </xf>
    <xf numFmtId="0" fontId="1" fillId="0" borderId="41" xfId="0" applyFont="1" applyBorder="1" applyAlignment="1" applyProtection="1">
      <alignment vertical="center"/>
      <protection hidden="1"/>
    </xf>
    <xf numFmtId="0" fontId="12" fillId="0" borderId="26" xfId="0" applyFont="1" applyBorder="1" applyAlignment="1" applyProtection="1">
      <alignment horizontal="left" vertical="center"/>
      <protection hidden="1"/>
    </xf>
    <xf numFmtId="0" fontId="12" fillId="0" borderId="27" xfId="0" applyFont="1" applyBorder="1" applyAlignment="1" applyProtection="1">
      <alignment horizontal="left" vertical="center"/>
      <protection hidden="1"/>
    </xf>
    <xf numFmtId="0" fontId="12" fillId="0" borderId="28" xfId="0" applyFont="1" applyBorder="1" applyAlignment="1" applyProtection="1">
      <alignment horizontal="left" vertical="center"/>
      <protection hidden="1"/>
    </xf>
    <xf numFmtId="179" fontId="1" fillId="0" borderId="7" xfId="0" applyNumberFormat="1" applyFont="1" applyBorder="1" applyAlignment="1" applyProtection="1">
      <alignment horizontal="center" vertical="center"/>
      <protection locked="0"/>
    </xf>
    <xf numFmtId="0" fontId="21" fillId="0" borderId="32" xfId="0" applyFont="1" applyBorder="1" applyAlignment="1" applyProtection="1">
      <alignment vertical="center" wrapText="1"/>
      <protection hidden="1"/>
    </xf>
    <xf numFmtId="0" fontId="1" fillId="0" borderId="29" xfId="0" applyFont="1" applyBorder="1" applyAlignment="1" applyProtection="1">
      <alignment vertical="center"/>
      <protection hidden="1"/>
    </xf>
    <xf numFmtId="0" fontId="1" fillId="0" borderId="7" xfId="0" applyFont="1" applyBorder="1" applyAlignment="1">
      <alignment horizontal="center" vertical="center"/>
    </xf>
    <xf numFmtId="0" fontId="1" fillId="0" borderId="7" xfId="0" applyFont="1" applyBorder="1"/>
    <xf numFmtId="0" fontId="1" fillId="0" borderId="7" xfId="0" applyFont="1" applyBorder="1" applyAlignment="1">
      <alignment horizontal="center"/>
    </xf>
    <xf numFmtId="0" fontId="22" fillId="0" borderId="39" xfId="0" applyFont="1" applyBorder="1" applyAlignment="1" applyProtection="1">
      <alignment vertical="center"/>
      <protection hidden="1"/>
    </xf>
    <xf numFmtId="181" fontId="1" fillId="0" borderId="7" xfId="0" applyNumberFormat="1" applyFont="1" applyBorder="1" applyAlignment="1" applyProtection="1">
      <alignment horizontal="center" vertical="center"/>
      <protection hidden="1"/>
    </xf>
    <xf numFmtId="176" fontId="12" fillId="0" borderId="0" xfId="0" applyNumberFormat="1" applyFont="1" applyAlignment="1">
      <alignment horizontal="right"/>
    </xf>
    <xf numFmtId="0" fontId="12" fillId="0" borderId="0" xfId="0" applyFont="1"/>
    <xf numFmtId="0" fontId="19" fillId="0" borderId="39" xfId="0" applyFont="1" applyBorder="1" applyAlignment="1" applyProtection="1">
      <alignment vertical="center"/>
      <protection hidden="1"/>
    </xf>
    <xf numFmtId="181" fontId="1" fillId="0" borderId="40" xfId="0" applyNumberFormat="1" applyFont="1" applyBorder="1" applyAlignment="1" applyProtection="1">
      <alignment horizontal="center" vertical="center"/>
      <protection hidden="1"/>
    </xf>
    <xf numFmtId="0" fontId="23" fillId="0" borderId="42" xfId="0" applyFont="1" applyBorder="1" applyAlignment="1" applyProtection="1">
      <alignment vertical="center"/>
      <protection hidden="1"/>
    </xf>
    <xf numFmtId="181" fontId="1" fillId="0" borderId="43" xfId="0" applyNumberFormat="1" applyFont="1" applyBorder="1" applyAlignment="1" applyProtection="1">
      <alignment horizontal="center" vertical="center"/>
      <protection hidden="1"/>
    </xf>
    <xf numFmtId="180" fontId="24" fillId="0" borderId="7" xfId="0" applyNumberFormat="1" applyFont="1" applyBorder="1" applyProtection="1">
      <protection hidden="1"/>
    </xf>
    <xf numFmtId="180" fontId="24" fillId="0" borderId="7" xfId="0" applyNumberFormat="1" applyFont="1" applyBorder="1" applyAlignment="1" applyProtection="1">
      <alignment horizontal="center"/>
      <protection hidden="1"/>
    </xf>
    <xf numFmtId="176" fontId="24" fillId="0" borderId="7" xfId="0" applyNumberFormat="1" applyFont="1" applyBorder="1" applyProtection="1">
      <protection hidden="1"/>
    </xf>
    <xf numFmtId="176" fontId="24" fillId="0" borderId="7" xfId="0" applyNumberFormat="1" applyFont="1" applyBorder="1"/>
    <xf numFmtId="0" fontId="23" fillId="0" borderId="32" xfId="0" applyFont="1" applyBorder="1" applyAlignment="1" applyProtection="1">
      <alignment vertical="center"/>
      <protection hidden="1"/>
    </xf>
    <xf numFmtId="176" fontId="24" fillId="0" borderId="7" xfId="0" applyNumberFormat="1" applyFont="1" applyBorder="1" applyAlignment="1" applyProtection="1">
      <alignment horizontal="center"/>
      <protection hidden="1"/>
    </xf>
    <xf numFmtId="176" fontId="24" fillId="0" borderId="7" xfId="0" applyNumberFormat="1" applyFont="1" applyBorder="1" applyAlignment="1">
      <alignment horizontal="center"/>
    </xf>
    <xf numFmtId="0" fontId="1" fillId="0" borderId="39" xfId="0" applyFont="1" applyBorder="1"/>
    <xf numFmtId="181" fontId="1" fillId="0" borderId="40" xfId="0" applyNumberFormat="1" applyFont="1" applyBorder="1"/>
    <xf numFmtId="0" fontId="1" fillId="0" borderId="41" xfId="0" applyFont="1" applyBorder="1"/>
    <xf numFmtId="0" fontId="15" fillId="0" borderId="45" xfId="0" applyFont="1" applyBorder="1" applyAlignment="1">
      <alignment horizontal="center" vertical="center" wrapText="1"/>
    </xf>
    <xf numFmtId="0" fontId="25" fillId="0" borderId="10" xfId="0" applyFont="1" applyBorder="1" applyAlignment="1">
      <alignment vertical="center"/>
    </xf>
    <xf numFmtId="0" fontId="1" fillId="4" borderId="46" xfId="0" applyFont="1" applyFill="1" applyBorder="1" applyAlignment="1" applyProtection="1">
      <alignment horizontal="center" vertical="center"/>
      <protection locked="0"/>
    </xf>
    <xf numFmtId="0" fontId="15" fillId="0" borderId="32" xfId="0" applyFont="1" applyBorder="1" applyAlignment="1">
      <alignment horizontal="center" vertical="center" wrapText="1"/>
    </xf>
    <xf numFmtId="0" fontId="25" fillId="0" borderId="7" xfId="0" applyFont="1" applyBorder="1" applyAlignment="1">
      <alignment vertical="center"/>
    </xf>
    <xf numFmtId="0" fontId="1" fillId="4" borderId="34" xfId="0" applyFont="1" applyFill="1" applyBorder="1" applyAlignment="1" applyProtection="1">
      <alignment horizontal="center" vertical="center"/>
      <protection locked="0"/>
    </xf>
    <xf numFmtId="0" fontId="15" fillId="0" borderId="34" xfId="0" applyFont="1" applyBorder="1" applyAlignment="1" applyProtection="1">
      <alignment horizontal="center" vertical="center"/>
      <protection locked="0"/>
    </xf>
    <xf numFmtId="0" fontId="25" fillId="0" borderId="29" xfId="0" applyFont="1" applyBorder="1" applyAlignment="1">
      <alignment vertical="center"/>
    </xf>
    <xf numFmtId="179" fontId="15" fillId="0" borderId="7" xfId="0" applyNumberFormat="1" applyFont="1" applyBorder="1" applyAlignment="1" applyProtection="1">
      <alignment horizontal="center" vertical="center"/>
      <protection locked="0"/>
    </xf>
    <xf numFmtId="0" fontId="15" fillId="0" borderId="39" xfId="0" applyFont="1" applyBorder="1" applyAlignment="1">
      <alignment horizontal="center" vertical="center" wrapText="1"/>
    </xf>
    <xf numFmtId="0" fontId="25" fillId="0" borderId="47" xfId="0" applyFont="1" applyBorder="1" applyAlignment="1">
      <alignment vertical="center"/>
    </xf>
    <xf numFmtId="179" fontId="15" fillId="0" borderId="7" xfId="0" applyNumberFormat="1" applyFont="1" applyBorder="1" applyAlignment="1">
      <alignment horizontal="center" vertical="center"/>
    </xf>
    <xf numFmtId="0" fontId="26" fillId="0" borderId="45" xfId="0" applyFont="1" applyBorder="1" applyAlignment="1" applyProtection="1">
      <alignment vertical="center"/>
      <protection hidden="1"/>
    </xf>
    <xf numFmtId="0" fontId="26" fillId="0" borderId="4" xfId="0" applyFont="1" applyBorder="1" applyAlignment="1" applyProtection="1">
      <alignment vertical="center"/>
      <protection hidden="1"/>
    </xf>
    <xf numFmtId="0" fontId="26" fillId="0" borderId="7" xfId="0" applyFont="1" applyBorder="1" applyAlignment="1" applyProtection="1">
      <alignment vertical="center"/>
      <protection hidden="1"/>
    </xf>
    <xf numFmtId="0" fontId="26" fillId="5" borderId="7" xfId="0" applyFont="1" applyFill="1" applyBorder="1" applyAlignment="1" applyProtection="1">
      <alignment horizontal="center" vertical="center"/>
      <protection hidden="1"/>
    </xf>
    <xf numFmtId="0" fontId="1" fillId="0" borderId="5" xfId="0" applyFont="1" applyBorder="1" applyAlignment="1">
      <alignment horizontal="center" vertical="center"/>
    </xf>
    <xf numFmtId="0" fontId="1" fillId="0" borderId="20" xfId="0" applyFont="1" applyBorder="1" applyAlignment="1">
      <alignment vertical="center"/>
    </xf>
    <xf numFmtId="0" fontId="26" fillId="0" borderId="30" xfId="0" applyFont="1" applyBorder="1" applyAlignment="1" applyProtection="1">
      <alignment vertical="center"/>
      <protection hidden="1"/>
    </xf>
    <xf numFmtId="0" fontId="26" fillId="0" borderId="31" xfId="0" applyFont="1" applyBorder="1" applyAlignment="1" applyProtection="1">
      <alignment vertical="center"/>
      <protection hidden="1"/>
    </xf>
    <xf numFmtId="177" fontId="1" fillId="5" borderId="7" xfId="0" applyNumberFormat="1" applyFont="1" applyFill="1" applyBorder="1" applyAlignment="1" applyProtection="1">
      <alignment horizontal="center" vertical="center"/>
      <protection hidden="1"/>
    </xf>
    <xf numFmtId="0" fontId="17" fillId="0" borderId="30" xfId="0" applyFont="1" applyBorder="1" applyAlignment="1" applyProtection="1">
      <alignment horizontal="left" vertical="center"/>
      <protection hidden="1"/>
    </xf>
    <xf numFmtId="0" fontId="17" fillId="0" borderId="31" xfId="0" applyFont="1" applyBorder="1" applyAlignment="1" applyProtection="1">
      <alignment horizontal="left" vertical="center"/>
      <protection hidden="1"/>
    </xf>
    <xf numFmtId="0" fontId="1" fillId="5" borderId="7" xfId="0" applyFont="1" applyFill="1" applyBorder="1" applyAlignment="1" applyProtection="1">
      <alignment horizontal="center" vertical="center"/>
      <protection hidden="1"/>
    </xf>
    <xf numFmtId="0" fontId="1" fillId="0" borderId="48" xfId="0" applyFont="1" applyBorder="1"/>
    <xf numFmtId="0" fontId="1" fillId="0" borderId="39" xfId="0" applyFont="1" applyBorder="1" applyAlignment="1" applyProtection="1">
      <alignment vertical="center"/>
      <protection hidden="1"/>
    </xf>
    <xf numFmtId="0" fontId="27" fillId="5" borderId="40" xfId="0" applyFont="1" applyFill="1" applyBorder="1" applyAlignment="1" applyProtection="1">
      <alignment horizontal="center" vertical="center"/>
      <protection hidden="1"/>
    </xf>
    <xf numFmtId="0" fontId="1" fillId="0" borderId="19" xfId="0" applyFont="1" applyBorder="1" applyProtection="1">
      <protection hidden="1"/>
    </xf>
    <xf numFmtId="0" fontId="1" fillId="0" borderId="0" xfId="0" applyFont="1" applyProtection="1">
      <protection hidden="1"/>
    </xf>
    <xf numFmtId="0" fontId="1" fillId="0" borderId="2" xfId="0" applyFont="1" applyBorder="1" applyProtection="1">
      <protection hidden="1"/>
    </xf>
    <xf numFmtId="0" fontId="1" fillId="0" borderId="2" xfId="0" applyFont="1" applyBorder="1" applyAlignment="1" applyProtection="1">
      <alignment horizontal="center"/>
      <protection hidden="1"/>
    </xf>
    <xf numFmtId="0" fontId="1" fillId="0" borderId="25" xfId="0" applyFont="1" applyBorder="1" applyAlignment="1" applyProtection="1">
      <alignment horizontal="center"/>
      <protection hidden="1"/>
    </xf>
    <xf numFmtId="0" fontId="2" fillId="0" borderId="0" xfId="0" applyFont="1" applyProtection="1">
      <protection hidden="1"/>
    </xf>
    <xf numFmtId="0" fontId="1" fillId="0" borderId="16" xfId="0" applyFont="1" applyBorder="1"/>
    <xf numFmtId="0" fontId="1" fillId="0" borderId="17" xfId="0" applyFont="1" applyBorder="1"/>
    <xf numFmtId="0" fontId="1" fillId="0" borderId="18" xfId="0" applyFont="1" applyBorder="1"/>
    <xf numFmtId="0" fontId="1" fillId="0" borderId="19" xfId="0" applyFont="1" applyBorder="1"/>
    <xf numFmtId="0" fontId="1" fillId="6" borderId="0" xfId="0" applyFont="1" applyFill="1"/>
    <xf numFmtId="0" fontId="1" fillId="0" borderId="20" xfId="0" applyFont="1" applyBorder="1"/>
    <xf numFmtId="0" fontId="1" fillId="7" borderId="0" xfId="0" applyFont="1" applyFill="1"/>
    <xf numFmtId="0" fontId="1" fillId="0" borderId="49" xfId="0" applyFont="1" applyBorder="1"/>
    <xf numFmtId="0" fontId="1" fillId="0" borderId="50" xfId="0" applyFont="1" applyBorder="1"/>
    <xf numFmtId="0" fontId="17" fillId="0" borderId="50" xfId="0" applyFont="1" applyBorder="1" applyAlignment="1">
      <alignment horizontal="right" vertical="center"/>
    </xf>
    <xf numFmtId="0" fontId="1" fillId="0" borderId="50" xfId="0" applyFont="1" applyBorder="1" applyAlignment="1">
      <alignment horizontal="right" vertical="center"/>
    </xf>
    <xf numFmtId="0" fontId="1" fillId="0" borderId="51" xfId="0" applyFont="1" applyBorder="1" applyAlignment="1">
      <alignment horizontal="right"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1" fillId="0" borderId="48" xfId="0" applyFont="1" applyBorder="1" applyAlignment="1">
      <alignment horizontal="center" vertical="center"/>
    </xf>
    <xf numFmtId="0" fontId="1" fillId="0" borderId="0" xfId="0" applyFont="1" applyBorder="1" applyAlignment="1">
      <alignment vertical="center"/>
    </xf>
    <xf numFmtId="0" fontId="1" fillId="0" borderId="0" xfId="0" applyFont="1" applyBorder="1"/>
    <xf numFmtId="0" fontId="1" fillId="0" borderId="40" xfId="0" applyFont="1" applyBorder="1" applyAlignment="1">
      <alignment horizontal="center" vertical="center"/>
    </xf>
    <xf numFmtId="0" fontId="1" fillId="0" borderId="47" xfId="0" applyFont="1" applyBorder="1" applyAlignment="1">
      <alignment horizontal="center" vertical="center"/>
    </xf>
    <xf numFmtId="0" fontId="1" fillId="0" borderId="52" xfId="0" applyFont="1" applyBorder="1" applyAlignment="1">
      <alignment horizontal="center" vertical="center"/>
    </xf>
    <xf numFmtId="176" fontId="12" fillId="0" borderId="7" xfId="0" applyNumberFormat="1" applyFont="1" applyBorder="1"/>
    <xf numFmtId="0" fontId="1" fillId="0" borderId="0" xfId="0" applyFont="1" applyAlignment="1">
      <alignment horizontal="center" vertical="center"/>
    </xf>
    <xf numFmtId="0" fontId="1" fillId="0" borderId="0" xfId="0" applyFont="1" applyAlignment="1">
      <alignment horizontal="center"/>
    </xf>
    <xf numFmtId="178" fontId="28" fillId="0" borderId="0" xfId="0" applyNumberFormat="1" applyFont="1" applyAlignment="1">
      <alignment vertical="center" wrapText="1"/>
    </xf>
    <xf numFmtId="0" fontId="29" fillId="0" borderId="7" xfId="0" applyFont="1" applyBorder="1" applyAlignment="1">
      <alignment horizontal="center" vertical="center"/>
    </xf>
    <xf numFmtId="0" fontId="29"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521E9"/>
      <color rgb="00FFFFFF"/>
      <color rgb="00FF00FF"/>
      <color rgb="000000FF"/>
      <color rgb="00FFFF00"/>
      <color rgb="00022AD4"/>
      <color rgb="00FFF2CC"/>
      <color rgb="00808080"/>
      <color rgb="00000000"/>
      <color rgb="002C10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0" vertOverflow="ellipsis" vert="horz" wrap="square" anchor="ctr" anchorCtr="1"/>
          <a:lstStyle/>
          <a:p>
            <a:pPr defTabSz="914400">
              <a:defRPr lang="zh-CN" sz="1200" b="1" i="0" u="none" strike="noStrike" kern="1200" baseline="0">
                <a:solidFill>
                  <a:srgbClr val="000000">
                    <a:alpha val="100000"/>
                  </a:srgbClr>
                </a:solidFill>
                <a:latin typeface="黑体" panose="02010609060101010101" charset="-122"/>
                <a:ea typeface="黑体" panose="02010609060101010101" charset="-122"/>
                <a:cs typeface="黑体" panose="02010609060101010101" charset="-122"/>
              </a:defRPr>
            </a:pPr>
            <a:r>
              <a:rPr lang="en-US"/>
              <a:t>P-Q</a:t>
            </a:r>
            <a:r>
              <a:rPr lang="zh-CN" altLang="en-US"/>
              <a:t>图表</a:t>
            </a:r>
            <a:endParaRPr lang="zh-CN" altLang="en-US" sz="1200" b="1" i="0" u="none" strike="noStrike" baseline="0">
              <a:solidFill>
                <a:srgbClr val="000000">
                  <a:alpha val="100000"/>
                </a:srgbClr>
              </a:solidFill>
              <a:latin typeface="黑体" panose="02010609060101010101" charset="-122"/>
              <a:ea typeface="黑体" panose="02010609060101010101" charset="-122"/>
              <a:cs typeface="黑体" panose="02010609060101010101" charset="-122"/>
            </a:endParaRPr>
          </a:p>
        </c:rich>
      </c:tx>
      <c:layout/>
      <c:overlay val="0"/>
      <c:spPr>
        <a:noFill/>
        <a:ln w="3175">
          <a:noFill/>
        </a:ln>
      </c:spPr>
    </c:title>
    <c:autoTitleDeleted val="0"/>
    <c:plotArea>
      <c:layout>
        <c:manualLayout>
          <c:layoutTarget val="inner"/>
          <c:xMode val="edge"/>
          <c:yMode val="edge"/>
          <c:x val="0.0906165036081507"/>
          <c:y val="0.0557565014891337"/>
          <c:w val="0.885129062029615"/>
          <c:h val="0.861527877848227"/>
        </c:manualLayout>
      </c:layout>
      <c:scatterChart>
        <c:scatterStyle val="lineMarker"/>
        <c:varyColors val="0"/>
        <c:ser>
          <c:idx val="1"/>
          <c:order val="0"/>
          <c:tx>
            <c:strRef>
              <c:f>"压铸机名义ML线"</c:f>
              <c:strCache>
                <c:ptCount val="1"/>
                <c:pt idx="0">
                  <c:v>压铸机名义ML线</c:v>
                </c:pt>
              </c:strCache>
            </c:strRef>
          </c:tx>
          <c:spPr>
            <a:ln w="25400" cap="rnd" cmpd="sng" algn="ctr">
              <a:solidFill>
                <a:srgbClr val="FF00FF">
                  <a:alpha val="100000"/>
                </a:srgbClr>
              </a:solidFill>
              <a:prstDash val="dashDot"/>
              <a:round/>
            </a:ln>
            <a:effectLst/>
          </c:spPr>
          <c:marker>
            <c:symbol val="square"/>
            <c:size val="3"/>
            <c:spPr>
              <a:solidFill>
                <a:srgbClr val="FFFFFF"/>
              </a:solidFill>
              <a:ln w="6350" cap="flat" cmpd="sng" algn="ctr">
                <a:solidFill>
                  <a:srgbClr val="FFFFFF">
                    <a:alpha val="0"/>
                  </a:srgbClr>
                </a:solidFill>
                <a:prstDash val="solid"/>
                <a:round/>
              </a:ln>
              <a:effectLst/>
            </c:spPr>
          </c:marker>
          <c:dLbls>
            <c:delete val="1"/>
          </c:dLbls>
          <c:xVal>
            <c:numRef>
              <c:f>'Ｐ-Ｑ图分析'!$M$55:$M$105</c:f>
              <c:numCache>
                <c:formatCode>0.00_ </c:formatCode>
                <c:ptCount val="51"/>
                <c:pt idx="0">
                  <c:v>0</c:v>
                </c:pt>
                <c:pt idx="1">
                  <c:v>0.38484510006475</c:v>
                </c:pt>
                <c:pt idx="2">
                  <c:v>0.769690200129499</c:v>
                </c:pt>
                <c:pt idx="3">
                  <c:v>1.15453530019425</c:v>
                </c:pt>
                <c:pt idx="4">
                  <c:v>1.539380400259</c:v>
                </c:pt>
                <c:pt idx="5">
                  <c:v>1.92422550032375</c:v>
                </c:pt>
                <c:pt idx="6">
                  <c:v>2.3090706003885</c:v>
                </c:pt>
                <c:pt idx="7">
                  <c:v>2.69391570045325</c:v>
                </c:pt>
                <c:pt idx="8">
                  <c:v>3.078760800518</c:v>
                </c:pt>
                <c:pt idx="9">
                  <c:v>3.46360590058275</c:v>
                </c:pt>
                <c:pt idx="10">
                  <c:v>3.8484510006475</c:v>
                </c:pt>
                <c:pt idx="11">
                  <c:v>4.23329610071225</c:v>
                </c:pt>
                <c:pt idx="12">
                  <c:v>4.618141200777</c:v>
                </c:pt>
                <c:pt idx="13">
                  <c:v>5.00298630084175</c:v>
                </c:pt>
                <c:pt idx="14">
                  <c:v>5.38783140090649</c:v>
                </c:pt>
                <c:pt idx="15">
                  <c:v>5.77267650097124</c:v>
                </c:pt>
                <c:pt idx="16">
                  <c:v>6.15752160103599</c:v>
                </c:pt>
                <c:pt idx="17">
                  <c:v>6.54236670110074</c:v>
                </c:pt>
                <c:pt idx="18">
                  <c:v>6.92721180116549</c:v>
                </c:pt>
                <c:pt idx="19">
                  <c:v>7.31205690123024</c:v>
                </c:pt>
                <c:pt idx="20">
                  <c:v>7.69690200129499</c:v>
                </c:pt>
                <c:pt idx="21">
                  <c:v>8.08174710135974</c:v>
                </c:pt>
                <c:pt idx="22">
                  <c:v>8.46659220142449</c:v>
                </c:pt>
                <c:pt idx="23">
                  <c:v>8.85143730148924</c:v>
                </c:pt>
                <c:pt idx="24">
                  <c:v>9.23628240155399</c:v>
                </c:pt>
                <c:pt idx="25">
                  <c:v>9.62112750161874</c:v>
                </c:pt>
                <c:pt idx="26">
                  <c:v>10.0059726016835</c:v>
                </c:pt>
                <c:pt idx="27">
                  <c:v>10.3908177017482</c:v>
                </c:pt>
                <c:pt idx="28">
                  <c:v>10.775662801813</c:v>
                </c:pt>
                <c:pt idx="29">
                  <c:v>11.1605079018777</c:v>
                </c:pt>
                <c:pt idx="30">
                  <c:v>11.5453530019425</c:v>
                </c:pt>
                <c:pt idx="31">
                  <c:v>11.9301981020072</c:v>
                </c:pt>
                <c:pt idx="32">
                  <c:v>12.315043202072</c:v>
                </c:pt>
                <c:pt idx="33">
                  <c:v>12.6998883021367</c:v>
                </c:pt>
                <c:pt idx="34">
                  <c:v>13.0847334022015</c:v>
                </c:pt>
                <c:pt idx="35">
                  <c:v>13.4695785022662</c:v>
                </c:pt>
                <c:pt idx="36">
                  <c:v>13.854423602331</c:v>
                </c:pt>
                <c:pt idx="37">
                  <c:v>14.2392687023957</c:v>
                </c:pt>
                <c:pt idx="38">
                  <c:v>14.6241138024605</c:v>
                </c:pt>
                <c:pt idx="39">
                  <c:v>15.0089589025252</c:v>
                </c:pt>
                <c:pt idx="40">
                  <c:v>15.39380400259</c:v>
                </c:pt>
                <c:pt idx="41">
                  <c:v>15.7786491026547</c:v>
                </c:pt>
                <c:pt idx="42">
                  <c:v>16.1634942027195</c:v>
                </c:pt>
                <c:pt idx="43">
                  <c:v>16.5483393027842</c:v>
                </c:pt>
                <c:pt idx="44">
                  <c:v>16.933184402849</c:v>
                </c:pt>
                <c:pt idx="45">
                  <c:v>17.3180295029137</c:v>
                </c:pt>
                <c:pt idx="46">
                  <c:v>17.7028746029785</c:v>
                </c:pt>
                <c:pt idx="47">
                  <c:v>18.0877197030432</c:v>
                </c:pt>
                <c:pt idx="48">
                  <c:v>18.472564803108</c:v>
                </c:pt>
                <c:pt idx="49">
                  <c:v>18.8574099031727</c:v>
                </c:pt>
                <c:pt idx="50">
                  <c:v>19.2422550032375</c:v>
                </c:pt>
              </c:numCache>
            </c:numRef>
          </c:xVal>
          <c:yVal>
            <c:numRef>
              <c:f>'Ｐ-Ｑ图分析'!$N$55:$N$105</c:f>
              <c:numCache>
                <c:formatCode>0.00_ </c:formatCode>
                <c:ptCount val="51"/>
                <c:pt idx="0">
                  <c:v>404.84693877551</c:v>
                </c:pt>
                <c:pt idx="1">
                  <c:v>404.685</c:v>
                </c:pt>
                <c:pt idx="2">
                  <c:v>404.199183673469</c:v>
                </c:pt>
                <c:pt idx="3">
                  <c:v>403.389489795918</c:v>
                </c:pt>
                <c:pt idx="4">
                  <c:v>402.255918367347</c:v>
                </c:pt>
                <c:pt idx="5">
                  <c:v>400.798469387755</c:v>
                </c:pt>
                <c:pt idx="6">
                  <c:v>399.017142857143</c:v>
                </c:pt>
                <c:pt idx="7">
                  <c:v>396.91193877551</c:v>
                </c:pt>
                <c:pt idx="8">
                  <c:v>394.482857142857</c:v>
                </c:pt>
                <c:pt idx="9">
                  <c:v>391.729897959184</c:v>
                </c:pt>
                <c:pt idx="10">
                  <c:v>388.65306122449</c:v>
                </c:pt>
                <c:pt idx="11">
                  <c:v>385.252346938776</c:v>
                </c:pt>
                <c:pt idx="12">
                  <c:v>381.527755102041</c:v>
                </c:pt>
                <c:pt idx="13">
                  <c:v>377.479285714286</c:v>
                </c:pt>
                <c:pt idx="14">
                  <c:v>373.10693877551</c:v>
                </c:pt>
                <c:pt idx="15">
                  <c:v>368.410714285714</c:v>
                </c:pt>
                <c:pt idx="16">
                  <c:v>363.390612244898</c:v>
                </c:pt>
                <c:pt idx="17">
                  <c:v>358.046632653061</c:v>
                </c:pt>
                <c:pt idx="18">
                  <c:v>352.378775510204</c:v>
                </c:pt>
                <c:pt idx="19">
                  <c:v>346.387040816327</c:v>
                </c:pt>
                <c:pt idx="20">
                  <c:v>340.071428571429</c:v>
                </c:pt>
                <c:pt idx="21">
                  <c:v>333.43193877551</c:v>
                </c:pt>
                <c:pt idx="22">
                  <c:v>326.468571428571</c:v>
                </c:pt>
                <c:pt idx="23">
                  <c:v>319.181326530612</c:v>
                </c:pt>
                <c:pt idx="24">
                  <c:v>311.570204081633</c:v>
                </c:pt>
                <c:pt idx="25">
                  <c:v>303.635204081633</c:v>
                </c:pt>
                <c:pt idx="26">
                  <c:v>295.376326530612</c:v>
                </c:pt>
                <c:pt idx="27">
                  <c:v>286.793571428571</c:v>
                </c:pt>
                <c:pt idx="28">
                  <c:v>277.88693877551</c:v>
                </c:pt>
                <c:pt idx="29">
                  <c:v>268.656428571429</c:v>
                </c:pt>
                <c:pt idx="30">
                  <c:v>259.102040816327</c:v>
                </c:pt>
                <c:pt idx="31">
                  <c:v>249.223775510204</c:v>
                </c:pt>
                <c:pt idx="32">
                  <c:v>239.021632653061</c:v>
                </c:pt>
                <c:pt idx="33">
                  <c:v>228.495612244898</c:v>
                </c:pt>
                <c:pt idx="34">
                  <c:v>217.645714285714</c:v>
                </c:pt>
                <c:pt idx="35">
                  <c:v>206.47193877551</c:v>
                </c:pt>
                <c:pt idx="36">
                  <c:v>194.974285714286</c:v>
                </c:pt>
                <c:pt idx="37">
                  <c:v>183.152755102041</c:v>
                </c:pt>
                <c:pt idx="38">
                  <c:v>171.007346938776</c:v>
                </c:pt>
                <c:pt idx="39">
                  <c:v>158.53806122449</c:v>
                </c:pt>
                <c:pt idx="40">
                  <c:v>145.744897959184</c:v>
                </c:pt>
                <c:pt idx="41">
                  <c:v>132.627857142857</c:v>
                </c:pt>
                <c:pt idx="42">
                  <c:v>119.18693877551</c:v>
                </c:pt>
                <c:pt idx="43">
                  <c:v>105.422142857143</c:v>
                </c:pt>
                <c:pt idx="44">
                  <c:v>91.3334693877553</c:v>
                </c:pt>
                <c:pt idx="45">
                  <c:v>76.9209183673472</c:v>
                </c:pt>
                <c:pt idx="46">
                  <c:v>62.1844897959186</c:v>
                </c:pt>
                <c:pt idx="47">
                  <c:v>47.1241836734698</c:v>
                </c:pt>
                <c:pt idx="48">
                  <c:v>31.7400000000005</c:v>
                </c:pt>
                <c:pt idx="49">
                  <c:v>16.0319387755108</c:v>
                </c:pt>
                <c:pt idx="50">
                  <c:v>5.6843418860808e-13</c:v>
                </c:pt>
              </c:numCache>
            </c:numRef>
          </c:yVal>
          <c:smooth val="1"/>
        </c:ser>
        <c:ser>
          <c:idx val="0"/>
          <c:order val="1"/>
          <c:tx>
            <c:strRef>
              <c:f>"压铸机设定ML线"</c:f>
              <c:strCache>
                <c:ptCount val="1"/>
                <c:pt idx="0">
                  <c:v>压铸机设定ML线</c:v>
                </c:pt>
              </c:strCache>
            </c:strRef>
          </c:tx>
          <c:spPr>
            <a:ln w="25400" cap="rnd" cmpd="sng" algn="ctr">
              <a:solidFill>
                <a:srgbClr val="0000FF">
                  <a:alpha val="100000"/>
                </a:srgbClr>
              </a:solidFill>
              <a:prstDash val="solid"/>
              <a:round/>
            </a:ln>
            <a:effectLst/>
          </c:spPr>
          <c:marker>
            <c:symbol val="none"/>
          </c:marker>
          <c:dLbls>
            <c:delete val="1"/>
          </c:dLbls>
          <c:xVal>
            <c:numRef>
              <c:f>'Ｐ-Ｑ图分析'!$M$55:$M$105</c:f>
              <c:numCache>
                <c:formatCode>0.00_ </c:formatCode>
                <c:ptCount val="51"/>
                <c:pt idx="0">
                  <c:v>0</c:v>
                </c:pt>
                <c:pt idx="1">
                  <c:v>0.38484510006475</c:v>
                </c:pt>
                <c:pt idx="2">
                  <c:v>0.769690200129499</c:v>
                </c:pt>
                <c:pt idx="3">
                  <c:v>1.15453530019425</c:v>
                </c:pt>
                <c:pt idx="4">
                  <c:v>1.539380400259</c:v>
                </c:pt>
                <c:pt idx="5">
                  <c:v>1.92422550032375</c:v>
                </c:pt>
                <c:pt idx="6">
                  <c:v>2.3090706003885</c:v>
                </c:pt>
                <c:pt idx="7">
                  <c:v>2.69391570045325</c:v>
                </c:pt>
                <c:pt idx="8">
                  <c:v>3.078760800518</c:v>
                </c:pt>
                <c:pt idx="9">
                  <c:v>3.46360590058275</c:v>
                </c:pt>
                <c:pt idx="10">
                  <c:v>3.8484510006475</c:v>
                </c:pt>
                <c:pt idx="11">
                  <c:v>4.23329610071225</c:v>
                </c:pt>
                <c:pt idx="12">
                  <c:v>4.618141200777</c:v>
                </c:pt>
                <c:pt idx="13">
                  <c:v>5.00298630084175</c:v>
                </c:pt>
                <c:pt idx="14">
                  <c:v>5.38783140090649</c:v>
                </c:pt>
                <c:pt idx="15">
                  <c:v>5.77267650097124</c:v>
                </c:pt>
                <c:pt idx="16">
                  <c:v>6.15752160103599</c:v>
                </c:pt>
                <c:pt idx="17">
                  <c:v>6.54236670110074</c:v>
                </c:pt>
                <c:pt idx="18">
                  <c:v>6.92721180116549</c:v>
                </c:pt>
                <c:pt idx="19">
                  <c:v>7.31205690123024</c:v>
                </c:pt>
                <c:pt idx="20">
                  <c:v>7.69690200129499</c:v>
                </c:pt>
                <c:pt idx="21">
                  <c:v>8.08174710135974</c:v>
                </c:pt>
                <c:pt idx="22">
                  <c:v>8.46659220142449</c:v>
                </c:pt>
                <c:pt idx="23">
                  <c:v>8.85143730148924</c:v>
                </c:pt>
                <c:pt idx="24">
                  <c:v>9.23628240155399</c:v>
                </c:pt>
                <c:pt idx="25">
                  <c:v>9.62112750161874</c:v>
                </c:pt>
                <c:pt idx="26">
                  <c:v>10.0059726016835</c:v>
                </c:pt>
                <c:pt idx="27">
                  <c:v>10.3908177017482</c:v>
                </c:pt>
                <c:pt idx="28">
                  <c:v>10.775662801813</c:v>
                </c:pt>
                <c:pt idx="29">
                  <c:v>11.1605079018777</c:v>
                </c:pt>
                <c:pt idx="30">
                  <c:v>11.5453530019425</c:v>
                </c:pt>
                <c:pt idx="31">
                  <c:v>11.9301981020072</c:v>
                </c:pt>
                <c:pt idx="32">
                  <c:v>12.315043202072</c:v>
                </c:pt>
                <c:pt idx="33">
                  <c:v>12.6998883021367</c:v>
                </c:pt>
                <c:pt idx="34">
                  <c:v>13.0847334022015</c:v>
                </c:pt>
                <c:pt idx="35">
                  <c:v>13.4695785022662</c:v>
                </c:pt>
                <c:pt idx="36">
                  <c:v>13.854423602331</c:v>
                </c:pt>
                <c:pt idx="37">
                  <c:v>14.2392687023957</c:v>
                </c:pt>
                <c:pt idx="38">
                  <c:v>14.6241138024605</c:v>
                </c:pt>
                <c:pt idx="39">
                  <c:v>15.0089589025252</c:v>
                </c:pt>
                <c:pt idx="40">
                  <c:v>15.39380400259</c:v>
                </c:pt>
                <c:pt idx="41">
                  <c:v>15.7786491026547</c:v>
                </c:pt>
                <c:pt idx="42">
                  <c:v>16.1634942027195</c:v>
                </c:pt>
                <c:pt idx="43">
                  <c:v>16.5483393027842</c:v>
                </c:pt>
                <c:pt idx="44">
                  <c:v>16.933184402849</c:v>
                </c:pt>
                <c:pt idx="45">
                  <c:v>17.3180295029137</c:v>
                </c:pt>
                <c:pt idx="46">
                  <c:v>17.7028746029785</c:v>
                </c:pt>
                <c:pt idx="47">
                  <c:v>18.0877197030432</c:v>
                </c:pt>
                <c:pt idx="48">
                  <c:v>18.472564803108</c:v>
                </c:pt>
                <c:pt idx="49">
                  <c:v>18.8574099031727</c:v>
                </c:pt>
                <c:pt idx="50">
                  <c:v>19.2422550032375</c:v>
                </c:pt>
              </c:numCache>
            </c:numRef>
          </c:xVal>
          <c:yVal>
            <c:numRef>
              <c:f>'Ｐ-Ｑ图分析'!$O$55:$O$105</c:f>
              <c:numCache>
                <c:formatCode>0.00_ </c:formatCode>
                <c:ptCount val="51"/>
                <c:pt idx="0">
                  <c:v>377.857142857143</c:v>
                </c:pt>
                <c:pt idx="1">
                  <c:v>377.209387755102</c:v>
                </c:pt>
                <c:pt idx="2">
                  <c:v>375.26612244898</c:v>
                </c:pt>
                <c:pt idx="3">
                  <c:v>372.027346938776</c:v>
                </c:pt>
                <c:pt idx="4">
                  <c:v>367.49306122449</c:v>
                </c:pt>
                <c:pt idx="5">
                  <c:v>361.663265306122</c:v>
                </c:pt>
                <c:pt idx="6">
                  <c:v>354.537959183673</c:v>
                </c:pt>
                <c:pt idx="7">
                  <c:v>346.117142857143</c:v>
                </c:pt>
                <c:pt idx="8">
                  <c:v>336.400816326531</c:v>
                </c:pt>
                <c:pt idx="9">
                  <c:v>325.388979591837</c:v>
                </c:pt>
                <c:pt idx="10">
                  <c:v>313.081632653061</c:v>
                </c:pt>
                <c:pt idx="11">
                  <c:v>299.478775510204</c:v>
                </c:pt>
                <c:pt idx="12">
                  <c:v>284.580408163265</c:v>
                </c:pt>
                <c:pt idx="13">
                  <c:v>268.386530612245</c:v>
                </c:pt>
                <c:pt idx="14">
                  <c:v>250.897142857143</c:v>
                </c:pt>
                <c:pt idx="15">
                  <c:v>232.112244897959</c:v>
                </c:pt>
                <c:pt idx="16">
                  <c:v>212.031836734694</c:v>
                </c:pt>
                <c:pt idx="17">
                  <c:v>190.655918367347</c:v>
                </c:pt>
                <c:pt idx="18">
                  <c:v>167.984489795918</c:v>
                </c:pt>
                <c:pt idx="19">
                  <c:v>144.017551020408</c:v>
                </c:pt>
                <c:pt idx="20">
                  <c:v>118.755102040816</c:v>
                </c:pt>
                <c:pt idx="21">
                  <c:v>92.1971428571429</c:v>
                </c:pt>
                <c:pt idx="22">
                  <c:v>64.3436734693878</c:v>
                </c:pt>
                <c:pt idx="23">
                  <c:v>35.1946938775511</c:v>
                </c:pt>
                <c:pt idx="24">
                  <c:v>4.75020408163266</c:v>
                </c:pt>
                <c:pt idx="25">
                  <c:v>-26.9897959183673</c:v>
                </c:pt>
                <c:pt idx="26">
                  <c:v>-60.025306122449</c:v>
                </c:pt>
                <c:pt idx="27">
                  <c:v>-94.3563265306123</c:v>
                </c:pt>
                <c:pt idx="28">
                  <c:v>-129.982857142857</c:v>
                </c:pt>
                <c:pt idx="29">
                  <c:v>-166.904897959184</c:v>
                </c:pt>
                <c:pt idx="30">
                  <c:v>-205.122448979592</c:v>
                </c:pt>
                <c:pt idx="31">
                  <c:v>-244.635510204082</c:v>
                </c:pt>
                <c:pt idx="32">
                  <c:v>-285.444081632653</c:v>
                </c:pt>
                <c:pt idx="33">
                  <c:v>-327.548163265306</c:v>
                </c:pt>
                <c:pt idx="34">
                  <c:v>-370.947755102041</c:v>
                </c:pt>
                <c:pt idx="35">
                  <c:v>-415.642857142857</c:v>
                </c:pt>
                <c:pt idx="36">
                  <c:v>-461.633469387755</c:v>
                </c:pt>
                <c:pt idx="37">
                  <c:v>-508.919591836735</c:v>
                </c:pt>
                <c:pt idx="38">
                  <c:v>-557.501224489796</c:v>
                </c:pt>
                <c:pt idx="39">
                  <c:v>-607.378367346939</c:v>
                </c:pt>
                <c:pt idx="40">
                  <c:v>-658.551020408164</c:v>
                </c:pt>
                <c:pt idx="41">
                  <c:v>-711.01918367347</c:v>
                </c:pt>
                <c:pt idx="42">
                  <c:v>-764.782857142857</c:v>
                </c:pt>
                <c:pt idx="43">
                  <c:v>-819.842040816326</c:v>
                </c:pt>
                <c:pt idx="44">
                  <c:v>-876.196734693877</c:v>
                </c:pt>
                <c:pt idx="45">
                  <c:v>-933.846938775509</c:v>
                </c:pt>
                <c:pt idx="46">
                  <c:v>-992.792653061223</c:v>
                </c:pt>
                <c:pt idx="47">
                  <c:v>-1053.03387755102</c:v>
                </c:pt>
                <c:pt idx="48">
                  <c:v>-1114.5706122449</c:v>
                </c:pt>
                <c:pt idx="49">
                  <c:v>-1177.40285714286</c:v>
                </c:pt>
                <c:pt idx="50">
                  <c:v>-1241.5306122449</c:v>
                </c:pt>
              </c:numCache>
            </c:numRef>
          </c:yVal>
          <c:smooth val="1"/>
        </c:ser>
        <c:ser>
          <c:idx val="2"/>
          <c:order val="2"/>
          <c:tx>
            <c:strRef>
              <c:f>"设定最大速度线"</c:f>
              <c:strCache>
                <c:ptCount val="1"/>
                <c:pt idx="0">
                  <c:v>设定最大速度线</c:v>
                </c:pt>
              </c:strCache>
            </c:strRef>
          </c:tx>
          <c:spPr>
            <a:ln w="25400" cap="rnd" cmpd="sng" algn="ctr">
              <a:solidFill>
                <a:srgbClr val="00FFFF">
                  <a:alpha val="100000"/>
                </a:srgbClr>
              </a:solidFill>
              <a:prstDash val="solid"/>
              <a:round/>
            </a:ln>
            <a:effectLst/>
          </c:spPr>
          <c:marker>
            <c:symbol val="none"/>
          </c:marker>
          <c:dLbls>
            <c:delete val="1"/>
          </c:dLbls>
          <c:xVal>
            <c:numRef>
              <c:f>'Ｐ-Ｑ图分析'!$V$55:$V$105</c:f>
              <c:numCache>
                <c:formatCode>0.00_ </c:formatCode>
                <c:ptCount val="51"/>
                <c:pt idx="0">
                  <c:v>0</c:v>
                </c:pt>
                <c:pt idx="1">
                  <c:v>0.448179271708683</c:v>
                </c:pt>
                <c:pt idx="2">
                  <c:v>0.896358543417367</c:v>
                </c:pt>
                <c:pt idx="3">
                  <c:v>1.34453781512605</c:v>
                </c:pt>
                <c:pt idx="4">
                  <c:v>1.79271708683473</c:v>
                </c:pt>
                <c:pt idx="5">
                  <c:v>2.24089635854342</c:v>
                </c:pt>
                <c:pt idx="6">
                  <c:v>2.6890756302521</c:v>
                </c:pt>
                <c:pt idx="7">
                  <c:v>3.13725490196078</c:v>
                </c:pt>
                <c:pt idx="8">
                  <c:v>3.58543417366947</c:v>
                </c:pt>
                <c:pt idx="9">
                  <c:v>4.03361344537815</c:v>
                </c:pt>
                <c:pt idx="10">
                  <c:v>4.48179271708684</c:v>
                </c:pt>
                <c:pt idx="11">
                  <c:v>4.92997198879552</c:v>
                </c:pt>
                <c:pt idx="12">
                  <c:v>5.3781512605042</c:v>
                </c:pt>
                <c:pt idx="13">
                  <c:v>5.82633053221289</c:v>
                </c:pt>
                <c:pt idx="14">
                  <c:v>6.27450980392157</c:v>
                </c:pt>
                <c:pt idx="15">
                  <c:v>6.72268907563025</c:v>
                </c:pt>
                <c:pt idx="16">
                  <c:v>7.17086834733894</c:v>
                </c:pt>
                <c:pt idx="17">
                  <c:v>7.61904761904762</c:v>
                </c:pt>
                <c:pt idx="18">
                  <c:v>8.0672268907563</c:v>
                </c:pt>
                <c:pt idx="19">
                  <c:v>8.51540616246499</c:v>
                </c:pt>
                <c:pt idx="20">
                  <c:v>8.96358543417367</c:v>
                </c:pt>
                <c:pt idx="21">
                  <c:v>9.41176470588236</c:v>
                </c:pt>
                <c:pt idx="22">
                  <c:v>9.85994397759104</c:v>
                </c:pt>
                <c:pt idx="23">
                  <c:v>10.3081232492997</c:v>
                </c:pt>
                <c:pt idx="24">
                  <c:v>10.7563025210084</c:v>
                </c:pt>
                <c:pt idx="25">
                  <c:v>11.2044817927171</c:v>
                </c:pt>
                <c:pt idx="26">
                  <c:v>11.6526610644258</c:v>
                </c:pt>
                <c:pt idx="27">
                  <c:v>12.1008403361345</c:v>
                </c:pt>
                <c:pt idx="28">
                  <c:v>12.5490196078431</c:v>
                </c:pt>
                <c:pt idx="29">
                  <c:v>12.9971988795518</c:v>
                </c:pt>
                <c:pt idx="30">
                  <c:v>13.4453781512605</c:v>
                </c:pt>
                <c:pt idx="31">
                  <c:v>13.8935574229692</c:v>
                </c:pt>
                <c:pt idx="32">
                  <c:v>14.3417366946779</c:v>
                </c:pt>
                <c:pt idx="33">
                  <c:v>14.7899159663866</c:v>
                </c:pt>
                <c:pt idx="34">
                  <c:v>15.2380952380952</c:v>
                </c:pt>
                <c:pt idx="35">
                  <c:v>15.6862745098039</c:v>
                </c:pt>
                <c:pt idx="36">
                  <c:v>16.1344537815126</c:v>
                </c:pt>
                <c:pt idx="37">
                  <c:v>16.5826330532213</c:v>
                </c:pt>
                <c:pt idx="38">
                  <c:v>17.03081232493</c:v>
                </c:pt>
                <c:pt idx="39">
                  <c:v>17.4789915966387</c:v>
                </c:pt>
                <c:pt idx="40">
                  <c:v>17.9271708683473</c:v>
                </c:pt>
                <c:pt idx="41">
                  <c:v>18.375350140056</c:v>
                </c:pt>
                <c:pt idx="42">
                  <c:v>18.8235294117647</c:v>
                </c:pt>
                <c:pt idx="43">
                  <c:v>19.2717086834734</c:v>
                </c:pt>
                <c:pt idx="44">
                  <c:v>19.7198879551821</c:v>
                </c:pt>
                <c:pt idx="45">
                  <c:v>20.1680672268907</c:v>
                </c:pt>
                <c:pt idx="46">
                  <c:v>20.6162464985994</c:v>
                </c:pt>
                <c:pt idx="47">
                  <c:v>21.0644257703081</c:v>
                </c:pt>
                <c:pt idx="48">
                  <c:v>21.5126050420168</c:v>
                </c:pt>
                <c:pt idx="49">
                  <c:v>21.9607843137255</c:v>
                </c:pt>
                <c:pt idx="50">
                  <c:v>22.4089635854342</c:v>
                </c:pt>
              </c:numCache>
            </c:numRef>
          </c:xVal>
          <c:yVal>
            <c:numRef>
              <c:f>'Ｐ-Ｑ图分析'!$P$55:$P$105</c:f>
              <c:numCache>
                <c:formatCode>0.00_ </c:formatCode>
                <c:ptCount val="51"/>
                <c:pt idx="0">
                  <c:v>9.57666666666667</c:v>
                </c:pt>
                <c:pt idx="1">
                  <c:v>9.57666666666667</c:v>
                </c:pt>
                <c:pt idx="2">
                  <c:v>9.57666666666667</c:v>
                </c:pt>
                <c:pt idx="3">
                  <c:v>9.57666666666667</c:v>
                </c:pt>
                <c:pt idx="4">
                  <c:v>9.57666666666667</c:v>
                </c:pt>
                <c:pt idx="5">
                  <c:v>9.57666666666667</c:v>
                </c:pt>
                <c:pt idx="6">
                  <c:v>9.57666666666667</c:v>
                </c:pt>
                <c:pt idx="7">
                  <c:v>9.57666666666667</c:v>
                </c:pt>
                <c:pt idx="8">
                  <c:v>9.57666666666667</c:v>
                </c:pt>
                <c:pt idx="9">
                  <c:v>9.57666666666667</c:v>
                </c:pt>
                <c:pt idx="10">
                  <c:v>9.57666666666667</c:v>
                </c:pt>
                <c:pt idx="11">
                  <c:v>9.57666666666667</c:v>
                </c:pt>
                <c:pt idx="12">
                  <c:v>9.57666666666667</c:v>
                </c:pt>
                <c:pt idx="13">
                  <c:v>9.57666666666667</c:v>
                </c:pt>
                <c:pt idx="14">
                  <c:v>9.57666666666667</c:v>
                </c:pt>
                <c:pt idx="15">
                  <c:v>9.57666666666667</c:v>
                </c:pt>
                <c:pt idx="16">
                  <c:v>9.57666666666667</c:v>
                </c:pt>
                <c:pt idx="17">
                  <c:v>9.57666666666667</c:v>
                </c:pt>
                <c:pt idx="18">
                  <c:v>9.57666666666667</c:v>
                </c:pt>
                <c:pt idx="19">
                  <c:v>9.57666666666667</c:v>
                </c:pt>
                <c:pt idx="20">
                  <c:v>9.57666666666667</c:v>
                </c:pt>
                <c:pt idx="21">
                  <c:v>9.57666666666667</c:v>
                </c:pt>
                <c:pt idx="22">
                  <c:v>9.57666666666667</c:v>
                </c:pt>
                <c:pt idx="23">
                  <c:v>9.57666666666667</c:v>
                </c:pt>
                <c:pt idx="24">
                  <c:v>9.57666666666667</c:v>
                </c:pt>
                <c:pt idx="25">
                  <c:v>9.57666666666667</c:v>
                </c:pt>
                <c:pt idx="26">
                  <c:v>9.57666666666667</c:v>
                </c:pt>
                <c:pt idx="27">
                  <c:v>9.57666666666667</c:v>
                </c:pt>
                <c:pt idx="28">
                  <c:v>9.57666666666667</c:v>
                </c:pt>
                <c:pt idx="29">
                  <c:v>9.57666666666667</c:v>
                </c:pt>
                <c:pt idx="30">
                  <c:v>9.57666666666667</c:v>
                </c:pt>
                <c:pt idx="31">
                  <c:v>9.57666666666667</c:v>
                </c:pt>
                <c:pt idx="32">
                  <c:v>9.57666666666667</c:v>
                </c:pt>
                <c:pt idx="33">
                  <c:v>9.57666666666667</c:v>
                </c:pt>
                <c:pt idx="34">
                  <c:v>9.57666666666667</c:v>
                </c:pt>
                <c:pt idx="35">
                  <c:v>9.57666666666667</c:v>
                </c:pt>
                <c:pt idx="36">
                  <c:v>9.57666666666667</c:v>
                </c:pt>
                <c:pt idx="37">
                  <c:v>9.57666666666667</c:v>
                </c:pt>
                <c:pt idx="38">
                  <c:v>9.57666666666667</c:v>
                </c:pt>
                <c:pt idx="39">
                  <c:v>9.57666666666667</c:v>
                </c:pt>
                <c:pt idx="40">
                  <c:v>9.57666666666667</c:v>
                </c:pt>
                <c:pt idx="41">
                  <c:v>9.57666666666667</c:v>
                </c:pt>
                <c:pt idx="42">
                  <c:v>9.57666666666667</c:v>
                </c:pt>
                <c:pt idx="43">
                  <c:v>9.57666666666667</c:v>
                </c:pt>
                <c:pt idx="44">
                  <c:v>9.57666666666667</c:v>
                </c:pt>
                <c:pt idx="45">
                  <c:v>9.57666666666667</c:v>
                </c:pt>
                <c:pt idx="46">
                  <c:v>9.57666666666667</c:v>
                </c:pt>
                <c:pt idx="47">
                  <c:v>9.57666666666667</c:v>
                </c:pt>
                <c:pt idx="48">
                  <c:v>9.57666666666667</c:v>
                </c:pt>
                <c:pt idx="49">
                  <c:v>9.57666666666667</c:v>
                </c:pt>
                <c:pt idx="50">
                  <c:v>9.57666666666667</c:v>
                </c:pt>
              </c:numCache>
            </c:numRef>
          </c:yVal>
          <c:smooth val="1"/>
        </c:ser>
        <c:ser>
          <c:idx val="3"/>
          <c:order val="3"/>
          <c:tx>
            <c:strRef>
              <c:f>"设定最小速度线"</c:f>
              <c:strCache>
                <c:ptCount val="1"/>
                <c:pt idx="0">
                  <c:v>设定最小速度线</c:v>
                </c:pt>
              </c:strCache>
            </c:strRef>
          </c:tx>
          <c:spPr>
            <a:ln w="25400" cap="rnd" cmpd="sng" algn="ctr">
              <a:solidFill>
                <a:srgbClr val="FFFF00">
                  <a:alpha val="100000"/>
                </a:srgbClr>
              </a:solidFill>
              <a:prstDash val="solid"/>
              <a:round/>
            </a:ln>
            <a:effectLst/>
          </c:spPr>
          <c:marker>
            <c:symbol val="none"/>
          </c:marker>
          <c:dLbls>
            <c:delete val="1"/>
          </c:dLbls>
          <c:xVal>
            <c:numRef>
              <c:f>'Ｐ-Ｑ图分析'!$V$55:$V$105</c:f>
              <c:numCache>
                <c:formatCode>0.00_ </c:formatCode>
                <c:ptCount val="51"/>
                <c:pt idx="0">
                  <c:v>0</c:v>
                </c:pt>
                <c:pt idx="1">
                  <c:v>0.448179271708683</c:v>
                </c:pt>
                <c:pt idx="2">
                  <c:v>0.896358543417367</c:v>
                </c:pt>
                <c:pt idx="3">
                  <c:v>1.34453781512605</c:v>
                </c:pt>
                <c:pt idx="4">
                  <c:v>1.79271708683473</c:v>
                </c:pt>
                <c:pt idx="5">
                  <c:v>2.24089635854342</c:v>
                </c:pt>
                <c:pt idx="6">
                  <c:v>2.6890756302521</c:v>
                </c:pt>
                <c:pt idx="7">
                  <c:v>3.13725490196078</c:v>
                </c:pt>
                <c:pt idx="8">
                  <c:v>3.58543417366947</c:v>
                </c:pt>
                <c:pt idx="9">
                  <c:v>4.03361344537815</c:v>
                </c:pt>
                <c:pt idx="10">
                  <c:v>4.48179271708684</c:v>
                </c:pt>
                <c:pt idx="11">
                  <c:v>4.92997198879552</c:v>
                </c:pt>
                <c:pt idx="12">
                  <c:v>5.3781512605042</c:v>
                </c:pt>
                <c:pt idx="13">
                  <c:v>5.82633053221289</c:v>
                </c:pt>
                <c:pt idx="14">
                  <c:v>6.27450980392157</c:v>
                </c:pt>
                <c:pt idx="15">
                  <c:v>6.72268907563025</c:v>
                </c:pt>
                <c:pt idx="16">
                  <c:v>7.17086834733894</c:v>
                </c:pt>
                <c:pt idx="17">
                  <c:v>7.61904761904762</c:v>
                </c:pt>
                <c:pt idx="18">
                  <c:v>8.0672268907563</c:v>
                </c:pt>
                <c:pt idx="19">
                  <c:v>8.51540616246499</c:v>
                </c:pt>
                <c:pt idx="20">
                  <c:v>8.96358543417367</c:v>
                </c:pt>
                <c:pt idx="21">
                  <c:v>9.41176470588236</c:v>
                </c:pt>
                <c:pt idx="22">
                  <c:v>9.85994397759104</c:v>
                </c:pt>
                <c:pt idx="23">
                  <c:v>10.3081232492997</c:v>
                </c:pt>
                <c:pt idx="24">
                  <c:v>10.7563025210084</c:v>
                </c:pt>
                <c:pt idx="25">
                  <c:v>11.2044817927171</c:v>
                </c:pt>
                <c:pt idx="26">
                  <c:v>11.6526610644258</c:v>
                </c:pt>
                <c:pt idx="27">
                  <c:v>12.1008403361345</c:v>
                </c:pt>
                <c:pt idx="28">
                  <c:v>12.5490196078431</c:v>
                </c:pt>
                <c:pt idx="29">
                  <c:v>12.9971988795518</c:v>
                </c:pt>
                <c:pt idx="30">
                  <c:v>13.4453781512605</c:v>
                </c:pt>
                <c:pt idx="31">
                  <c:v>13.8935574229692</c:v>
                </c:pt>
                <c:pt idx="32">
                  <c:v>14.3417366946779</c:v>
                </c:pt>
                <c:pt idx="33">
                  <c:v>14.7899159663866</c:v>
                </c:pt>
                <c:pt idx="34">
                  <c:v>15.2380952380952</c:v>
                </c:pt>
                <c:pt idx="35">
                  <c:v>15.6862745098039</c:v>
                </c:pt>
                <c:pt idx="36">
                  <c:v>16.1344537815126</c:v>
                </c:pt>
                <c:pt idx="37">
                  <c:v>16.5826330532213</c:v>
                </c:pt>
                <c:pt idx="38">
                  <c:v>17.03081232493</c:v>
                </c:pt>
                <c:pt idx="39">
                  <c:v>17.4789915966387</c:v>
                </c:pt>
                <c:pt idx="40">
                  <c:v>17.9271708683473</c:v>
                </c:pt>
                <c:pt idx="41">
                  <c:v>18.375350140056</c:v>
                </c:pt>
                <c:pt idx="42">
                  <c:v>18.8235294117647</c:v>
                </c:pt>
                <c:pt idx="43">
                  <c:v>19.2717086834734</c:v>
                </c:pt>
                <c:pt idx="44">
                  <c:v>19.7198879551821</c:v>
                </c:pt>
                <c:pt idx="45">
                  <c:v>20.1680672268907</c:v>
                </c:pt>
                <c:pt idx="46">
                  <c:v>20.6162464985994</c:v>
                </c:pt>
                <c:pt idx="47">
                  <c:v>21.0644257703081</c:v>
                </c:pt>
                <c:pt idx="48">
                  <c:v>21.5126050420168</c:v>
                </c:pt>
                <c:pt idx="49">
                  <c:v>21.9607843137255</c:v>
                </c:pt>
                <c:pt idx="50">
                  <c:v>22.4089635854342</c:v>
                </c:pt>
              </c:numCache>
            </c:numRef>
          </c:xVal>
          <c:yVal>
            <c:numRef>
              <c:f>'Ｐ-Ｑ图分析'!$Q$55:$Q$105</c:f>
              <c:numCache>
                <c:formatCode>0.00_ </c:formatCode>
                <c:ptCount val="51"/>
                <c:pt idx="0">
                  <c:v>3.4476</c:v>
                </c:pt>
                <c:pt idx="1">
                  <c:v>3.4476</c:v>
                </c:pt>
                <c:pt idx="2">
                  <c:v>3.4476</c:v>
                </c:pt>
                <c:pt idx="3">
                  <c:v>3.4476</c:v>
                </c:pt>
                <c:pt idx="4">
                  <c:v>3.4476</c:v>
                </c:pt>
                <c:pt idx="5">
                  <c:v>3.4476</c:v>
                </c:pt>
                <c:pt idx="6">
                  <c:v>3.4476</c:v>
                </c:pt>
                <c:pt idx="7">
                  <c:v>3.4476</c:v>
                </c:pt>
                <c:pt idx="8">
                  <c:v>3.4476</c:v>
                </c:pt>
                <c:pt idx="9">
                  <c:v>3.4476</c:v>
                </c:pt>
                <c:pt idx="10">
                  <c:v>3.4476</c:v>
                </c:pt>
                <c:pt idx="11">
                  <c:v>3.4476</c:v>
                </c:pt>
                <c:pt idx="12">
                  <c:v>3.4476</c:v>
                </c:pt>
                <c:pt idx="13">
                  <c:v>3.4476</c:v>
                </c:pt>
                <c:pt idx="14">
                  <c:v>3.4476</c:v>
                </c:pt>
                <c:pt idx="15">
                  <c:v>3.4476</c:v>
                </c:pt>
                <c:pt idx="16">
                  <c:v>3.4476</c:v>
                </c:pt>
                <c:pt idx="17">
                  <c:v>3.4476</c:v>
                </c:pt>
                <c:pt idx="18">
                  <c:v>3.4476</c:v>
                </c:pt>
                <c:pt idx="19">
                  <c:v>3.4476</c:v>
                </c:pt>
                <c:pt idx="20">
                  <c:v>3.4476</c:v>
                </c:pt>
                <c:pt idx="21">
                  <c:v>3.4476</c:v>
                </c:pt>
                <c:pt idx="22">
                  <c:v>3.4476</c:v>
                </c:pt>
                <c:pt idx="23">
                  <c:v>3.4476</c:v>
                </c:pt>
                <c:pt idx="24">
                  <c:v>3.4476</c:v>
                </c:pt>
                <c:pt idx="25">
                  <c:v>3.4476</c:v>
                </c:pt>
                <c:pt idx="26">
                  <c:v>3.4476</c:v>
                </c:pt>
                <c:pt idx="27">
                  <c:v>3.4476</c:v>
                </c:pt>
                <c:pt idx="28">
                  <c:v>3.4476</c:v>
                </c:pt>
                <c:pt idx="29">
                  <c:v>3.4476</c:v>
                </c:pt>
                <c:pt idx="30">
                  <c:v>3.4476</c:v>
                </c:pt>
                <c:pt idx="31">
                  <c:v>3.4476</c:v>
                </c:pt>
                <c:pt idx="32">
                  <c:v>3.4476</c:v>
                </c:pt>
                <c:pt idx="33">
                  <c:v>3.4476</c:v>
                </c:pt>
                <c:pt idx="34">
                  <c:v>3.4476</c:v>
                </c:pt>
                <c:pt idx="35">
                  <c:v>3.4476</c:v>
                </c:pt>
                <c:pt idx="36">
                  <c:v>3.4476</c:v>
                </c:pt>
                <c:pt idx="37">
                  <c:v>3.4476</c:v>
                </c:pt>
                <c:pt idx="38">
                  <c:v>3.4476</c:v>
                </c:pt>
                <c:pt idx="39">
                  <c:v>3.4476</c:v>
                </c:pt>
                <c:pt idx="40">
                  <c:v>3.4476</c:v>
                </c:pt>
                <c:pt idx="41">
                  <c:v>3.4476</c:v>
                </c:pt>
                <c:pt idx="42">
                  <c:v>3.4476</c:v>
                </c:pt>
                <c:pt idx="43">
                  <c:v>3.4476</c:v>
                </c:pt>
                <c:pt idx="44">
                  <c:v>3.4476</c:v>
                </c:pt>
                <c:pt idx="45">
                  <c:v>3.4476</c:v>
                </c:pt>
                <c:pt idx="46">
                  <c:v>3.4476</c:v>
                </c:pt>
                <c:pt idx="47">
                  <c:v>3.4476</c:v>
                </c:pt>
                <c:pt idx="48">
                  <c:v>3.4476</c:v>
                </c:pt>
                <c:pt idx="49">
                  <c:v>3.4476</c:v>
                </c:pt>
                <c:pt idx="50">
                  <c:v>3.4476</c:v>
                </c:pt>
              </c:numCache>
            </c:numRef>
          </c:yVal>
          <c:smooth val="1"/>
        </c:ser>
        <c:ser>
          <c:idx val="5"/>
          <c:order val="4"/>
          <c:tx>
            <c:strRef>
              <c:f>"最短充型时间线"</c:f>
              <c:strCache>
                <c:ptCount val="1"/>
                <c:pt idx="0">
                  <c:v>最短充型时间线</c:v>
                </c:pt>
              </c:strCache>
            </c:strRef>
          </c:tx>
          <c:spPr>
            <a:ln w="25400" cap="rnd" cmpd="sng" algn="ctr">
              <a:solidFill>
                <a:srgbClr val="993366">
                  <a:alpha val="100000"/>
                </a:srgbClr>
              </a:solidFill>
              <a:prstDash val="solid"/>
              <a:round/>
            </a:ln>
            <a:effectLst/>
          </c:spPr>
          <c:marker>
            <c:symbol val="none"/>
          </c:marker>
          <c:dLbls>
            <c:delete val="1"/>
          </c:dLbls>
          <c:xVal>
            <c:numRef>
              <c:f>'Ｐ-Ｑ图分析'!$R$55:$R$105</c:f>
              <c:numCache>
                <c:formatCode>0.00_ </c:formatCode>
                <c:ptCount val="51"/>
                <c:pt idx="0">
                  <c:v>17.9271708683473</c:v>
                </c:pt>
                <c:pt idx="1">
                  <c:v>17.9271708683473</c:v>
                </c:pt>
                <c:pt idx="2">
                  <c:v>17.9271708683473</c:v>
                </c:pt>
                <c:pt idx="3">
                  <c:v>17.9271708683473</c:v>
                </c:pt>
                <c:pt idx="4">
                  <c:v>17.9271708683473</c:v>
                </c:pt>
                <c:pt idx="5">
                  <c:v>17.9271708683473</c:v>
                </c:pt>
                <c:pt idx="6">
                  <c:v>17.9271708683473</c:v>
                </c:pt>
                <c:pt idx="7">
                  <c:v>17.9271708683473</c:v>
                </c:pt>
                <c:pt idx="8">
                  <c:v>17.9271708683473</c:v>
                </c:pt>
                <c:pt idx="9">
                  <c:v>17.9271708683473</c:v>
                </c:pt>
                <c:pt idx="10">
                  <c:v>17.9271708683473</c:v>
                </c:pt>
                <c:pt idx="11">
                  <c:v>17.9271708683473</c:v>
                </c:pt>
                <c:pt idx="12">
                  <c:v>17.9271708683473</c:v>
                </c:pt>
                <c:pt idx="13">
                  <c:v>17.9271708683473</c:v>
                </c:pt>
                <c:pt idx="14">
                  <c:v>17.9271708683473</c:v>
                </c:pt>
                <c:pt idx="15">
                  <c:v>17.9271708683473</c:v>
                </c:pt>
                <c:pt idx="16">
                  <c:v>17.9271708683473</c:v>
                </c:pt>
                <c:pt idx="17">
                  <c:v>17.9271708683473</c:v>
                </c:pt>
                <c:pt idx="18">
                  <c:v>17.9271708683473</c:v>
                </c:pt>
                <c:pt idx="19">
                  <c:v>17.9271708683473</c:v>
                </c:pt>
                <c:pt idx="20">
                  <c:v>17.9271708683473</c:v>
                </c:pt>
                <c:pt idx="21">
                  <c:v>17.9271708683473</c:v>
                </c:pt>
                <c:pt idx="22">
                  <c:v>17.9271708683473</c:v>
                </c:pt>
                <c:pt idx="23">
                  <c:v>17.9271708683473</c:v>
                </c:pt>
                <c:pt idx="24">
                  <c:v>17.9271708683473</c:v>
                </c:pt>
                <c:pt idx="25">
                  <c:v>17.9271708683473</c:v>
                </c:pt>
                <c:pt idx="26">
                  <c:v>17.9271708683473</c:v>
                </c:pt>
                <c:pt idx="27">
                  <c:v>17.9271708683473</c:v>
                </c:pt>
                <c:pt idx="28">
                  <c:v>17.9271708683473</c:v>
                </c:pt>
                <c:pt idx="29">
                  <c:v>17.9271708683473</c:v>
                </c:pt>
                <c:pt idx="30">
                  <c:v>17.9271708683473</c:v>
                </c:pt>
                <c:pt idx="31">
                  <c:v>17.9271708683473</c:v>
                </c:pt>
                <c:pt idx="32">
                  <c:v>17.9271708683473</c:v>
                </c:pt>
                <c:pt idx="33">
                  <c:v>17.9271708683473</c:v>
                </c:pt>
                <c:pt idx="34">
                  <c:v>17.9271708683473</c:v>
                </c:pt>
                <c:pt idx="35">
                  <c:v>17.9271708683473</c:v>
                </c:pt>
                <c:pt idx="36">
                  <c:v>17.9271708683473</c:v>
                </c:pt>
                <c:pt idx="37">
                  <c:v>17.9271708683473</c:v>
                </c:pt>
                <c:pt idx="38">
                  <c:v>17.9271708683473</c:v>
                </c:pt>
                <c:pt idx="39">
                  <c:v>17.9271708683473</c:v>
                </c:pt>
                <c:pt idx="40">
                  <c:v>17.9271708683473</c:v>
                </c:pt>
                <c:pt idx="41">
                  <c:v>17.9271708683473</c:v>
                </c:pt>
                <c:pt idx="42">
                  <c:v>17.9271708683473</c:v>
                </c:pt>
                <c:pt idx="43">
                  <c:v>17.9271708683473</c:v>
                </c:pt>
                <c:pt idx="44">
                  <c:v>17.9271708683473</c:v>
                </c:pt>
                <c:pt idx="45">
                  <c:v>17.9271708683473</c:v>
                </c:pt>
                <c:pt idx="46">
                  <c:v>17.9271708683473</c:v>
                </c:pt>
                <c:pt idx="47">
                  <c:v>17.9271708683473</c:v>
                </c:pt>
                <c:pt idx="48">
                  <c:v>17.9271708683473</c:v>
                </c:pt>
                <c:pt idx="49">
                  <c:v>17.9271708683473</c:v>
                </c:pt>
                <c:pt idx="50">
                  <c:v>17.9271708683473</c:v>
                </c:pt>
              </c:numCache>
            </c:numRef>
          </c:xVal>
          <c:yVal>
            <c:numRef>
              <c:f>'Ｐ-Ｑ图分析'!$W$55:$W$105</c:f>
              <c:numCache>
                <c:formatCode>0.00_ </c:formatCode>
                <c:ptCount val="51"/>
                <c:pt idx="0">
                  <c:v>0</c:v>
                </c:pt>
                <c:pt idx="1">
                  <c:v>0.239416666666667</c:v>
                </c:pt>
                <c:pt idx="2">
                  <c:v>0.478833333333333</c:v>
                </c:pt>
                <c:pt idx="3">
                  <c:v>0.71825</c:v>
                </c:pt>
                <c:pt idx="4">
                  <c:v>0.957666666666667</c:v>
                </c:pt>
                <c:pt idx="5">
                  <c:v>1.19708333333333</c:v>
                </c:pt>
                <c:pt idx="6">
                  <c:v>1.4365</c:v>
                </c:pt>
                <c:pt idx="7">
                  <c:v>1.67591666666667</c:v>
                </c:pt>
                <c:pt idx="8">
                  <c:v>1.91533333333333</c:v>
                </c:pt>
                <c:pt idx="9">
                  <c:v>2.15475</c:v>
                </c:pt>
                <c:pt idx="10">
                  <c:v>2.39416666666667</c:v>
                </c:pt>
                <c:pt idx="11">
                  <c:v>2.63358333333333</c:v>
                </c:pt>
                <c:pt idx="12">
                  <c:v>2.873</c:v>
                </c:pt>
                <c:pt idx="13">
                  <c:v>3.11241666666667</c:v>
                </c:pt>
                <c:pt idx="14">
                  <c:v>3.35183333333333</c:v>
                </c:pt>
                <c:pt idx="15">
                  <c:v>3.59125</c:v>
                </c:pt>
                <c:pt idx="16">
                  <c:v>3.83066666666667</c:v>
                </c:pt>
                <c:pt idx="17">
                  <c:v>4.07008333333333</c:v>
                </c:pt>
                <c:pt idx="18">
                  <c:v>4.3095</c:v>
                </c:pt>
                <c:pt idx="19">
                  <c:v>4.54891666666667</c:v>
                </c:pt>
                <c:pt idx="20">
                  <c:v>4.78833333333333</c:v>
                </c:pt>
                <c:pt idx="21">
                  <c:v>5.02775</c:v>
                </c:pt>
                <c:pt idx="22">
                  <c:v>5.26716666666667</c:v>
                </c:pt>
                <c:pt idx="23">
                  <c:v>5.50658333333334</c:v>
                </c:pt>
                <c:pt idx="24">
                  <c:v>5.746</c:v>
                </c:pt>
                <c:pt idx="25">
                  <c:v>5.98541666666667</c:v>
                </c:pt>
                <c:pt idx="26">
                  <c:v>6.22483333333334</c:v>
                </c:pt>
                <c:pt idx="27">
                  <c:v>6.46425</c:v>
                </c:pt>
                <c:pt idx="28">
                  <c:v>6.70366666666667</c:v>
                </c:pt>
                <c:pt idx="29">
                  <c:v>6.94308333333334</c:v>
                </c:pt>
                <c:pt idx="30">
                  <c:v>7.1825</c:v>
                </c:pt>
                <c:pt idx="31">
                  <c:v>7.42191666666667</c:v>
                </c:pt>
                <c:pt idx="32">
                  <c:v>7.66133333333334</c:v>
                </c:pt>
                <c:pt idx="33">
                  <c:v>7.90075000000001</c:v>
                </c:pt>
                <c:pt idx="34">
                  <c:v>8.14016666666667</c:v>
                </c:pt>
                <c:pt idx="35">
                  <c:v>8.37958333333334</c:v>
                </c:pt>
                <c:pt idx="36">
                  <c:v>8.61900000000001</c:v>
                </c:pt>
                <c:pt idx="37">
                  <c:v>8.85841666666667</c:v>
                </c:pt>
                <c:pt idx="38">
                  <c:v>9.09783333333334</c:v>
                </c:pt>
                <c:pt idx="39">
                  <c:v>9.33725000000001</c:v>
                </c:pt>
                <c:pt idx="40">
                  <c:v>9.57666666666668</c:v>
                </c:pt>
                <c:pt idx="41">
                  <c:v>9.81608333333334</c:v>
                </c:pt>
                <c:pt idx="42">
                  <c:v>10.0555</c:v>
                </c:pt>
                <c:pt idx="43">
                  <c:v>10.2949166666667</c:v>
                </c:pt>
                <c:pt idx="44">
                  <c:v>10.5343333333333</c:v>
                </c:pt>
                <c:pt idx="45">
                  <c:v>10.77375</c:v>
                </c:pt>
                <c:pt idx="46">
                  <c:v>11.0131666666667</c:v>
                </c:pt>
                <c:pt idx="47">
                  <c:v>11.2525833333333</c:v>
                </c:pt>
                <c:pt idx="48">
                  <c:v>11.492</c:v>
                </c:pt>
                <c:pt idx="49">
                  <c:v>11.7314166666667</c:v>
                </c:pt>
                <c:pt idx="50">
                  <c:v>11.9708333333333</c:v>
                </c:pt>
              </c:numCache>
            </c:numRef>
          </c:yVal>
          <c:smooth val="1"/>
        </c:ser>
        <c:ser>
          <c:idx val="4"/>
          <c:order val="5"/>
          <c:tx>
            <c:strRef>
              <c:f>"最长充型时间线"</c:f>
              <c:strCache>
                <c:ptCount val="1"/>
                <c:pt idx="0">
                  <c:v>最长充型时间线</c:v>
                </c:pt>
              </c:strCache>
            </c:strRef>
          </c:tx>
          <c:spPr>
            <a:ln w="25400" cap="rnd" cmpd="sng" algn="ctr">
              <a:solidFill>
                <a:srgbClr val="FF9900">
                  <a:alpha val="100000"/>
                </a:srgbClr>
              </a:solidFill>
              <a:prstDash val="solid"/>
              <a:round/>
            </a:ln>
            <a:effectLst/>
          </c:spPr>
          <c:marker>
            <c:symbol val="none"/>
          </c:marker>
          <c:dLbls>
            <c:delete val="1"/>
          </c:dLbls>
          <c:xVal>
            <c:numRef>
              <c:f>'Ｐ-Ｑ图分析'!$S$55:$S$105</c:f>
              <c:numCache>
                <c:formatCode>0.00_ </c:formatCode>
                <c:ptCount val="51"/>
                <c:pt idx="0">
                  <c:v>5.97572362278245</c:v>
                </c:pt>
                <c:pt idx="1">
                  <c:v>5.97572362278245</c:v>
                </c:pt>
                <c:pt idx="2">
                  <c:v>5.97572362278245</c:v>
                </c:pt>
                <c:pt idx="3">
                  <c:v>5.97572362278245</c:v>
                </c:pt>
                <c:pt idx="4">
                  <c:v>5.97572362278245</c:v>
                </c:pt>
                <c:pt idx="5">
                  <c:v>5.97572362278245</c:v>
                </c:pt>
                <c:pt idx="6">
                  <c:v>5.97572362278245</c:v>
                </c:pt>
                <c:pt idx="7">
                  <c:v>5.97572362278245</c:v>
                </c:pt>
                <c:pt idx="8">
                  <c:v>5.97572362278245</c:v>
                </c:pt>
                <c:pt idx="9">
                  <c:v>5.97572362278245</c:v>
                </c:pt>
                <c:pt idx="10">
                  <c:v>5.97572362278245</c:v>
                </c:pt>
                <c:pt idx="11">
                  <c:v>5.97572362278245</c:v>
                </c:pt>
                <c:pt idx="12">
                  <c:v>5.97572362278245</c:v>
                </c:pt>
                <c:pt idx="13">
                  <c:v>5.97572362278245</c:v>
                </c:pt>
                <c:pt idx="14">
                  <c:v>5.97572362278245</c:v>
                </c:pt>
                <c:pt idx="15">
                  <c:v>5.97572362278245</c:v>
                </c:pt>
                <c:pt idx="16">
                  <c:v>5.97572362278245</c:v>
                </c:pt>
                <c:pt idx="17">
                  <c:v>5.97572362278245</c:v>
                </c:pt>
                <c:pt idx="18">
                  <c:v>5.97572362278245</c:v>
                </c:pt>
                <c:pt idx="19">
                  <c:v>5.97572362278245</c:v>
                </c:pt>
                <c:pt idx="20">
                  <c:v>5.97572362278245</c:v>
                </c:pt>
                <c:pt idx="21">
                  <c:v>5.97572362278245</c:v>
                </c:pt>
                <c:pt idx="22">
                  <c:v>5.97572362278245</c:v>
                </c:pt>
                <c:pt idx="23">
                  <c:v>5.97572362278245</c:v>
                </c:pt>
                <c:pt idx="24">
                  <c:v>5.97572362278245</c:v>
                </c:pt>
                <c:pt idx="25">
                  <c:v>5.97572362278245</c:v>
                </c:pt>
                <c:pt idx="26">
                  <c:v>5.97572362278245</c:v>
                </c:pt>
                <c:pt idx="27">
                  <c:v>5.97572362278245</c:v>
                </c:pt>
                <c:pt idx="28">
                  <c:v>5.97572362278245</c:v>
                </c:pt>
                <c:pt idx="29">
                  <c:v>5.97572362278245</c:v>
                </c:pt>
                <c:pt idx="30">
                  <c:v>5.97572362278245</c:v>
                </c:pt>
                <c:pt idx="31">
                  <c:v>5.97572362278245</c:v>
                </c:pt>
                <c:pt idx="32">
                  <c:v>5.97572362278245</c:v>
                </c:pt>
                <c:pt idx="33">
                  <c:v>5.97572362278245</c:v>
                </c:pt>
                <c:pt idx="34">
                  <c:v>5.97572362278245</c:v>
                </c:pt>
                <c:pt idx="35">
                  <c:v>5.97572362278245</c:v>
                </c:pt>
                <c:pt idx="36">
                  <c:v>5.97572362278245</c:v>
                </c:pt>
                <c:pt idx="37">
                  <c:v>5.97572362278245</c:v>
                </c:pt>
                <c:pt idx="38">
                  <c:v>5.97572362278245</c:v>
                </c:pt>
                <c:pt idx="39">
                  <c:v>5.97572362278245</c:v>
                </c:pt>
                <c:pt idx="40">
                  <c:v>5.97572362278245</c:v>
                </c:pt>
                <c:pt idx="41">
                  <c:v>5.97572362278245</c:v>
                </c:pt>
                <c:pt idx="42">
                  <c:v>5.97572362278245</c:v>
                </c:pt>
                <c:pt idx="43">
                  <c:v>5.97572362278245</c:v>
                </c:pt>
                <c:pt idx="44">
                  <c:v>5.97572362278245</c:v>
                </c:pt>
                <c:pt idx="45">
                  <c:v>5.97572362278245</c:v>
                </c:pt>
                <c:pt idx="46">
                  <c:v>5.97572362278245</c:v>
                </c:pt>
                <c:pt idx="47">
                  <c:v>5.97572362278245</c:v>
                </c:pt>
                <c:pt idx="48">
                  <c:v>5.97572362278245</c:v>
                </c:pt>
                <c:pt idx="49">
                  <c:v>5.97572362278245</c:v>
                </c:pt>
                <c:pt idx="50">
                  <c:v>5.97572362278245</c:v>
                </c:pt>
              </c:numCache>
            </c:numRef>
          </c:xVal>
          <c:yVal>
            <c:numRef>
              <c:f>'Ｐ-Ｑ图分析'!$W$55:$W$105</c:f>
              <c:numCache>
                <c:formatCode>0.00_ </c:formatCode>
                <c:ptCount val="51"/>
                <c:pt idx="0">
                  <c:v>0</c:v>
                </c:pt>
                <c:pt idx="1">
                  <c:v>0.239416666666667</c:v>
                </c:pt>
                <c:pt idx="2">
                  <c:v>0.478833333333333</c:v>
                </c:pt>
                <c:pt idx="3">
                  <c:v>0.71825</c:v>
                </c:pt>
                <c:pt idx="4">
                  <c:v>0.957666666666667</c:v>
                </c:pt>
                <c:pt idx="5">
                  <c:v>1.19708333333333</c:v>
                </c:pt>
                <c:pt idx="6">
                  <c:v>1.4365</c:v>
                </c:pt>
                <c:pt idx="7">
                  <c:v>1.67591666666667</c:v>
                </c:pt>
                <c:pt idx="8">
                  <c:v>1.91533333333333</c:v>
                </c:pt>
                <c:pt idx="9">
                  <c:v>2.15475</c:v>
                </c:pt>
                <c:pt idx="10">
                  <c:v>2.39416666666667</c:v>
                </c:pt>
                <c:pt idx="11">
                  <c:v>2.63358333333333</c:v>
                </c:pt>
                <c:pt idx="12">
                  <c:v>2.873</c:v>
                </c:pt>
                <c:pt idx="13">
                  <c:v>3.11241666666667</c:v>
                </c:pt>
                <c:pt idx="14">
                  <c:v>3.35183333333333</c:v>
                </c:pt>
                <c:pt idx="15">
                  <c:v>3.59125</c:v>
                </c:pt>
                <c:pt idx="16">
                  <c:v>3.83066666666667</c:v>
                </c:pt>
                <c:pt idx="17">
                  <c:v>4.07008333333333</c:v>
                </c:pt>
                <c:pt idx="18">
                  <c:v>4.3095</c:v>
                </c:pt>
                <c:pt idx="19">
                  <c:v>4.54891666666667</c:v>
                </c:pt>
                <c:pt idx="20">
                  <c:v>4.78833333333333</c:v>
                </c:pt>
                <c:pt idx="21">
                  <c:v>5.02775</c:v>
                </c:pt>
                <c:pt idx="22">
                  <c:v>5.26716666666667</c:v>
                </c:pt>
                <c:pt idx="23">
                  <c:v>5.50658333333334</c:v>
                </c:pt>
                <c:pt idx="24">
                  <c:v>5.746</c:v>
                </c:pt>
                <c:pt idx="25">
                  <c:v>5.98541666666667</c:v>
                </c:pt>
                <c:pt idx="26">
                  <c:v>6.22483333333334</c:v>
                </c:pt>
                <c:pt idx="27">
                  <c:v>6.46425</c:v>
                </c:pt>
                <c:pt idx="28">
                  <c:v>6.70366666666667</c:v>
                </c:pt>
                <c:pt idx="29">
                  <c:v>6.94308333333334</c:v>
                </c:pt>
                <c:pt idx="30">
                  <c:v>7.1825</c:v>
                </c:pt>
                <c:pt idx="31">
                  <c:v>7.42191666666667</c:v>
                </c:pt>
                <c:pt idx="32">
                  <c:v>7.66133333333334</c:v>
                </c:pt>
                <c:pt idx="33">
                  <c:v>7.90075000000001</c:v>
                </c:pt>
                <c:pt idx="34">
                  <c:v>8.14016666666667</c:v>
                </c:pt>
                <c:pt idx="35">
                  <c:v>8.37958333333334</c:v>
                </c:pt>
                <c:pt idx="36">
                  <c:v>8.61900000000001</c:v>
                </c:pt>
                <c:pt idx="37">
                  <c:v>8.85841666666667</c:v>
                </c:pt>
                <c:pt idx="38">
                  <c:v>9.09783333333334</c:v>
                </c:pt>
                <c:pt idx="39">
                  <c:v>9.33725000000001</c:v>
                </c:pt>
                <c:pt idx="40">
                  <c:v>9.57666666666668</c:v>
                </c:pt>
                <c:pt idx="41">
                  <c:v>9.81608333333334</c:v>
                </c:pt>
                <c:pt idx="42">
                  <c:v>10.0555</c:v>
                </c:pt>
                <c:pt idx="43">
                  <c:v>10.2949166666667</c:v>
                </c:pt>
                <c:pt idx="44">
                  <c:v>10.5343333333333</c:v>
                </c:pt>
                <c:pt idx="45">
                  <c:v>10.77375</c:v>
                </c:pt>
                <c:pt idx="46">
                  <c:v>11.0131666666667</c:v>
                </c:pt>
                <c:pt idx="47">
                  <c:v>11.2525833333333</c:v>
                </c:pt>
                <c:pt idx="48">
                  <c:v>11.492</c:v>
                </c:pt>
                <c:pt idx="49">
                  <c:v>11.7314166666667</c:v>
                </c:pt>
                <c:pt idx="50">
                  <c:v>11.9708333333333</c:v>
                </c:pt>
              </c:numCache>
            </c:numRef>
          </c:yVal>
          <c:smooth val="1"/>
        </c:ser>
        <c:ser>
          <c:idx val="7"/>
          <c:order val="6"/>
          <c:tx>
            <c:strRef>
              <c:f>"模具DL线"</c:f>
              <c:strCache>
                <c:ptCount val="1"/>
                <c:pt idx="0">
                  <c:v>模具DL线</c:v>
                </c:pt>
              </c:strCache>
            </c:strRef>
          </c:tx>
          <c:spPr>
            <a:ln w="25400" cap="rnd" cmpd="sng" algn="ctr">
              <a:solidFill>
                <a:srgbClr val="339966">
                  <a:alpha val="100000"/>
                </a:srgbClr>
              </a:solidFill>
              <a:prstDash val="solid"/>
              <a:round/>
            </a:ln>
            <a:effectLst/>
          </c:spPr>
          <c:marker>
            <c:symbol val="none"/>
          </c:marker>
          <c:dLbls>
            <c:delete val="1"/>
          </c:dLbls>
          <c:xVal>
            <c:numRef>
              <c:f>'Ｐ-Ｑ图分析'!$T$55:$T$105</c:f>
              <c:numCache>
                <c:formatCode>0.00_ </c:formatCode>
                <c:ptCount val="51"/>
                <c:pt idx="0">
                  <c:v>0</c:v>
                </c:pt>
                <c:pt idx="1">
                  <c:v>1.31857912176712</c:v>
                </c:pt>
                <c:pt idx="2">
                  <c:v>2.63715824353424</c:v>
                </c:pt>
                <c:pt idx="3">
                  <c:v>3.95573736530135</c:v>
                </c:pt>
                <c:pt idx="4">
                  <c:v>5.27431648706847</c:v>
                </c:pt>
                <c:pt idx="5">
                  <c:v>6.59289560883559</c:v>
                </c:pt>
                <c:pt idx="6">
                  <c:v>7.91147473060271</c:v>
                </c:pt>
                <c:pt idx="7">
                  <c:v>9.23005385236983</c:v>
                </c:pt>
                <c:pt idx="8">
                  <c:v>10.5486329741369</c:v>
                </c:pt>
                <c:pt idx="9">
                  <c:v>11.8672120959041</c:v>
                </c:pt>
                <c:pt idx="10">
                  <c:v>13.1857912176712</c:v>
                </c:pt>
                <c:pt idx="11">
                  <c:v>14.5043703394383</c:v>
                </c:pt>
                <c:pt idx="12">
                  <c:v>15.8229494612054</c:v>
                </c:pt>
                <c:pt idx="13">
                  <c:v>17.1415285829725</c:v>
                </c:pt>
                <c:pt idx="14">
                  <c:v>18.4601077047397</c:v>
                </c:pt>
                <c:pt idx="15">
                  <c:v>19.7786868265068</c:v>
                </c:pt>
                <c:pt idx="16">
                  <c:v>21.0972659482739</c:v>
                </c:pt>
                <c:pt idx="17">
                  <c:v>22.415845070041</c:v>
                </c:pt>
                <c:pt idx="18">
                  <c:v>23.7344241918081</c:v>
                </c:pt>
                <c:pt idx="19">
                  <c:v>25.0530033135752</c:v>
                </c:pt>
                <c:pt idx="20">
                  <c:v>26.3715824353424</c:v>
                </c:pt>
                <c:pt idx="21">
                  <c:v>27.6901615571095</c:v>
                </c:pt>
                <c:pt idx="22">
                  <c:v>29.0087406788766</c:v>
                </c:pt>
                <c:pt idx="23">
                  <c:v>30.3273198006437</c:v>
                </c:pt>
                <c:pt idx="24">
                  <c:v>31.6458989224108</c:v>
                </c:pt>
                <c:pt idx="25">
                  <c:v>32.964478044178</c:v>
                </c:pt>
                <c:pt idx="26">
                  <c:v>34.2830571659451</c:v>
                </c:pt>
                <c:pt idx="27">
                  <c:v>35.6016362877122</c:v>
                </c:pt>
                <c:pt idx="28">
                  <c:v>36.9202154094793</c:v>
                </c:pt>
                <c:pt idx="29">
                  <c:v>38.2387945312464</c:v>
                </c:pt>
                <c:pt idx="30">
                  <c:v>39.5573736530135</c:v>
                </c:pt>
                <c:pt idx="31">
                  <c:v>40.8759527747807</c:v>
                </c:pt>
                <c:pt idx="32">
                  <c:v>42.1945318965478</c:v>
                </c:pt>
                <c:pt idx="33">
                  <c:v>43.5131110183149</c:v>
                </c:pt>
                <c:pt idx="34">
                  <c:v>44.831690140082</c:v>
                </c:pt>
                <c:pt idx="35">
                  <c:v>46.1502692618491</c:v>
                </c:pt>
                <c:pt idx="36">
                  <c:v>47.4688483836162</c:v>
                </c:pt>
                <c:pt idx="37">
                  <c:v>48.7874275053833</c:v>
                </c:pt>
                <c:pt idx="38">
                  <c:v>50.1060066271505</c:v>
                </c:pt>
                <c:pt idx="39">
                  <c:v>51.4245857489176</c:v>
                </c:pt>
                <c:pt idx="40">
                  <c:v>52.7431648706847</c:v>
                </c:pt>
                <c:pt idx="41">
                  <c:v>54.0617439924518</c:v>
                </c:pt>
                <c:pt idx="42">
                  <c:v>55.3803231142189</c:v>
                </c:pt>
                <c:pt idx="43">
                  <c:v>56.698902235986</c:v>
                </c:pt>
                <c:pt idx="44">
                  <c:v>58.0174813577531</c:v>
                </c:pt>
                <c:pt idx="45">
                  <c:v>59.3360604795203</c:v>
                </c:pt>
                <c:pt idx="46">
                  <c:v>60.6546396012874</c:v>
                </c:pt>
                <c:pt idx="47">
                  <c:v>61.9732187230545</c:v>
                </c:pt>
                <c:pt idx="48">
                  <c:v>63.2917978448216</c:v>
                </c:pt>
                <c:pt idx="49">
                  <c:v>64.6103769665887</c:v>
                </c:pt>
                <c:pt idx="50">
                  <c:v>65.9289560883558</c:v>
                </c:pt>
              </c:numCache>
            </c:numRef>
          </c:xVal>
          <c:yVal>
            <c:numRef>
              <c:f>'Ｐ-Ｑ图分析'!$U$55:$U$105</c:f>
              <c:numCache>
                <c:formatCode>0.00_ </c:formatCode>
                <c:ptCount val="51"/>
                <c:pt idx="0">
                  <c:v>0</c:v>
                </c:pt>
                <c:pt idx="1">
                  <c:v>0.161938775510204</c:v>
                </c:pt>
                <c:pt idx="2">
                  <c:v>0.647755102040817</c:v>
                </c:pt>
                <c:pt idx="3">
                  <c:v>1.45744897959184</c:v>
                </c:pt>
                <c:pt idx="4">
                  <c:v>2.59102040816327</c:v>
                </c:pt>
                <c:pt idx="5">
                  <c:v>4.0484693877551</c:v>
                </c:pt>
                <c:pt idx="6">
                  <c:v>5.82979591836735</c:v>
                </c:pt>
                <c:pt idx="7">
                  <c:v>7.935</c:v>
                </c:pt>
                <c:pt idx="8">
                  <c:v>10.3640816326531</c:v>
                </c:pt>
                <c:pt idx="9">
                  <c:v>13.1170408163265</c:v>
                </c:pt>
                <c:pt idx="10">
                  <c:v>16.1938775510204</c:v>
                </c:pt>
                <c:pt idx="11">
                  <c:v>19.5945918367347</c:v>
                </c:pt>
                <c:pt idx="12">
                  <c:v>23.3191836734694</c:v>
                </c:pt>
                <c:pt idx="13">
                  <c:v>27.3676530612245</c:v>
                </c:pt>
                <c:pt idx="14">
                  <c:v>31.74</c:v>
                </c:pt>
                <c:pt idx="15">
                  <c:v>36.4362244897959</c:v>
                </c:pt>
                <c:pt idx="16">
                  <c:v>41.4563265306123</c:v>
                </c:pt>
                <c:pt idx="17">
                  <c:v>46.800306122449</c:v>
                </c:pt>
                <c:pt idx="18">
                  <c:v>52.4681632653062</c:v>
                </c:pt>
                <c:pt idx="19">
                  <c:v>58.4598979591837</c:v>
                </c:pt>
                <c:pt idx="20">
                  <c:v>64.7755102040817</c:v>
                </c:pt>
                <c:pt idx="21">
                  <c:v>71.415</c:v>
                </c:pt>
                <c:pt idx="22">
                  <c:v>78.3783673469388</c:v>
                </c:pt>
                <c:pt idx="23">
                  <c:v>85.665612244898</c:v>
                </c:pt>
                <c:pt idx="24">
                  <c:v>93.2767346938776</c:v>
                </c:pt>
                <c:pt idx="25">
                  <c:v>101.211734693878</c:v>
                </c:pt>
                <c:pt idx="26">
                  <c:v>109.470612244898</c:v>
                </c:pt>
                <c:pt idx="27">
                  <c:v>118.053367346939</c:v>
                </c:pt>
                <c:pt idx="28">
                  <c:v>126.96</c:v>
                </c:pt>
                <c:pt idx="29">
                  <c:v>136.190510204082</c:v>
                </c:pt>
                <c:pt idx="30">
                  <c:v>145.744897959184</c:v>
                </c:pt>
                <c:pt idx="31">
                  <c:v>155.623163265306</c:v>
                </c:pt>
                <c:pt idx="32">
                  <c:v>165.825306122449</c:v>
                </c:pt>
                <c:pt idx="33">
                  <c:v>176.351326530612</c:v>
                </c:pt>
                <c:pt idx="34">
                  <c:v>187.201224489796</c:v>
                </c:pt>
                <c:pt idx="35">
                  <c:v>198.375</c:v>
                </c:pt>
                <c:pt idx="36">
                  <c:v>209.872653061224</c:v>
                </c:pt>
                <c:pt idx="37">
                  <c:v>221.694183673469</c:v>
                </c:pt>
                <c:pt idx="38">
                  <c:v>233.839591836734</c:v>
                </c:pt>
                <c:pt idx="39">
                  <c:v>246.30887755102</c:v>
                </c:pt>
                <c:pt idx="40">
                  <c:v>259.102040816326</c:v>
                </c:pt>
                <c:pt idx="41">
                  <c:v>272.219081632653</c:v>
                </c:pt>
                <c:pt idx="42">
                  <c:v>285.66</c:v>
                </c:pt>
                <c:pt idx="43">
                  <c:v>299.424795918367</c:v>
                </c:pt>
                <c:pt idx="44">
                  <c:v>313.513469387755</c:v>
                </c:pt>
                <c:pt idx="45">
                  <c:v>327.926020408163</c:v>
                </c:pt>
                <c:pt idx="46">
                  <c:v>342.662448979591</c:v>
                </c:pt>
                <c:pt idx="47">
                  <c:v>357.72275510204</c:v>
                </c:pt>
                <c:pt idx="48">
                  <c:v>373.10693877551</c:v>
                </c:pt>
                <c:pt idx="49">
                  <c:v>388.814999999999</c:v>
                </c:pt>
                <c:pt idx="50">
                  <c:v>404.84693877551</c:v>
                </c:pt>
              </c:numCache>
            </c:numRef>
          </c:yVal>
          <c:smooth val="1"/>
        </c:ser>
        <c:ser>
          <c:idx val="6"/>
          <c:order val="7"/>
          <c:tx>
            <c:strRef>
              <c:f>"系统工作点"</c:f>
              <c:strCache>
                <c:ptCount val="1"/>
                <c:pt idx="0">
                  <c:v>系统工作点</c:v>
                </c:pt>
              </c:strCache>
            </c:strRef>
          </c:tx>
          <c:spPr>
            <a:ln w="9525" cap="rnd" cmpd="sng" algn="ctr">
              <a:noFill/>
              <a:prstDash val="solid"/>
              <a:round/>
            </a:ln>
          </c:spPr>
          <c:marker>
            <c:symbol val="circle"/>
            <c:size val="9"/>
            <c:spPr>
              <a:solidFill>
                <a:srgbClr val="000000">
                  <a:alpha val="100000"/>
                </a:srgbClr>
              </a:solidFill>
              <a:ln w="6350" cap="flat" cmpd="sng" algn="ctr">
                <a:solidFill>
                  <a:srgbClr val="FF0000">
                    <a:alpha val="100000"/>
                  </a:srgbClr>
                </a:solidFill>
                <a:prstDash val="solid"/>
                <a:round/>
              </a:ln>
              <a:effectLst/>
            </c:spPr>
          </c:marker>
          <c:dLbls>
            <c:delete val="1"/>
          </c:dLbls>
          <c:xVal>
            <c:numRef>
              <c:f>'Ｐ-Ｑ图分析'!$C$55</c:f>
              <c:numCache>
                <c:formatCode>0.0_ </c:formatCode>
                <c:ptCount val="1"/>
                <c:pt idx="0">
                  <c:v>9.19747311920595</c:v>
                </c:pt>
              </c:numCache>
            </c:numRef>
          </c:xVal>
          <c:yVal>
            <c:numRef>
              <c:f>'Ｐ-Ｑ图分析'!$C$56</c:f>
              <c:numCache>
                <c:formatCode>0.0_ </c:formatCode>
                <c:ptCount val="1"/>
                <c:pt idx="0">
                  <c:v>7.87908010209716</c:v>
                </c:pt>
              </c:numCache>
            </c:numRef>
          </c:yVal>
          <c:smooth val="0"/>
        </c:ser>
        <c:ser>
          <c:idx val="8"/>
          <c:order val="8"/>
          <c:tx>
            <c:strRef>
              <c:f>"工艺窗口"</c:f>
              <c:strCache>
                <c:ptCount val="1"/>
                <c:pt idx="0">
                  <c:v>工艺窗口</c:v>
                </c:pt>
              </c:strCache>
            </c:strRef>
          </c:tx>
          <c:spPr>
            <a:ln w="25400" cap="rnd" cmpd="sng" algn="ctr">
              <a:solidFill>
                <a:srgbClr val="FF0000">
                  <a:alpha val="100000"/>
                </a:srgbClr>
              </a:solidFill>
              <a:prstDash val="solid"/>
              <a:round/>
            </a:ln>
            <a:effectLst/>
          </c:spPr>
          <c:marker>
            <c:symbol val="none"/>
          </c:marker>
          <c:dLbls>
            <c:delete val="1"/>
          </c:dLbls>
          <c:xVal>
            <c:strRef>
              <c:f>('Ｐ-Ｑ图分析'!$C$50,'Ｐ-Ｑ图分析'!$B$40,'Ｐ-Ｑ图分析'!$B$39,'Ｐ-Ｑ图分析'!$B$39,'Ｐ-Ｑ图分析'!$B$40,'Ｐ-Ｑ图分析'!$B$40,'Ｐ-Ｑ图分析'!$B$40,'Ｐ-Ｑ图分析'!$B$39,'Ｐ-Ｑ图分析'!$B$39,'Ｐ-Ｑ图分析'!$B$40)</c:f>
              <c:strCache>
                <c:ptCount val="10"/>
                <c:pt idx="0">
                  <c:v>5.97572362278245</c:v>
                </c:pt>
                <c:pt idx="1">
                  <c:v>浇口系数</c:v>
                </c:pt>
                <c:pt idx="2">
                  <c:v>内浇口截面积（有效）</c:v>
                </c:pt>
                <c:pt idx="3">
                  <c:v>内浇口截面积（有效）</c:v>
                </c:pt>
                <c:pt idx="4">
                  <c:v>浇口系数</c:v>
                </c:pt>
                <c:pt idx="5">
                  <c:v>浇口系数</c:v>
                </c:pt>
                <c:pt idx="6">
                  <c:v>浇口系数</c:v>
                </c:pt>
                <c:pt idx="7">
                  <c:v>内浇口截面积（有效）</c:v>
                </c:pt>
                <c:pt idx="8">
                  <c:v>内浇口截面积（有效）</c:v>
                </c:pt>
                <c:pt idx="9">
                  <c:v>浇口系数</c:v>
                </c:pt>
              </c:strCache>
            </c:strRef>
          </c:xVal>
          <c:yVal>
            <c:numRef>
              <c:f>('Ｐ-Ｑ图分析'!$C$51,'Ｐ-Ｑ图分析'!$B$42,'Ｐ-Ｑ图分析'!$B$42,'Ｐ-Ｑ图分析'!$B$41,'Ｐ-Ｑ图分析'!$B$41)</c:f>
              <c:numCache>
                <c:formatCode>0.0_ </c:formatCode>
                <c:ptCount val="5"/>
                <c:pt idx="0">
                  <c:v>9.57666666666667</c:v>
                </c:pt>
                <c:pt idx="3" c:formatCode="General">
                  <c:v>0</c:v>
                </c:pt>
                <c:pt idx="4" c:formatCode="General">
                  <c:v>0</c:v>
                </c:pt>
              </c:numCache>
            </c:numRef>
          </c:yVal>
          <c:smooth val="0"/>
        </c:ser>
        <c:dLbls>
          <c:showLegendKey val="0"/>
          <c:showVal val="0"/>
          <c:showCatName val="0"/>
          <c:showSerName val="0"/>
          <c:showPercent val="0"/>
          <c:showBubbleSize val="0"/>
        </c:dLbls>
        <c:axId val="38656510"/>
        <c:axId val="377309811"/>
      </c:scatterChart>
      <c:valAx>
        <c:axId val="38656510"/>
        <c:scaling>
          <c:orientation val="minMax"/>
        </c:scaling>
        <c:delete val="0"/>
        <c:axPos val="b"/>
        <c:majorGridlines>
          <c:spPr>
            <a:ln w="3175" cap="flat" cmpd="sng" algn="ctr">
              <a:solidFill>
                <a:srgbClr val="9999FF">
                  <a:alpha val="100000"/>
                </a:srgbClr>
              </a:solidFill>
              <a:prstDash val="dashDot"/>
              <a:round/>
            </a:ln>
            <a:effectLst/>
          </c:spPr>
        </c:majorGridlines>
        <c:minorGridlines>
          <c:spPr>
            <a:ln w="3175" cap="flat" cmpd="sng" algn="ctr">
              <a:solidFill>
                <a:srgbClr val="9999FF">
                  <a:alpha val="100000"/>
                </a:srgbClr>
              </a:solidFill>
              <a:prstDash val="dashDot"/>
              <a:round/>
            </a:ln>
            <a:effectLst/>
          </c:spPr>
        </c:minorGridlines>
        <c:title>
          <c:tx>
            <c:rich>
              <a:bodyPr rot="0" spcFirstLastPara="0" vertOverflow="ellipsis" vert="horz" wrap="square" anchor="ctr" anchorCtr="1"/>
              <a:lstStyle/>
              <a:p>
                <a:pPr defTabSz="914400">
                  <a:defRPr lang="zh-CN" sz="1600" b="1" i="0" u="none" strike="noStrike" kern="1200" baseline="0">
                    <a:solidFill>
                      <a:srgbClr val="FF0000">
                        <a:alpha val="100000"/>
                      </a:srgbClr>
                    </a:solidFill>
                    <a:latin typeface="黑体" panose="02010609060101010101" charset="-122"/>
                    <a:ea typeface="黑体" panose="02010609060101010101" charset="-122"/>
                    <a:cs typeface="黑体" panose="02010609060101010101" charset="-122"/>
                  </a:defRPr>
                </a:pPr>
                <a:r>
                  <a:rPr lang="zh-CN" altLang="en-US" sz="1600">
                    <a:solidFill>
                      <a:srgbClr val="FF0000">
                        <a:alpha val="100000"/>
                      </a:srgbClr>
                    </a:solidFill>
                  </a:rPr>
                  <a:t>流量</a:t>
                </a:r>
                <a:r>
                  <a:rPr lang="en-US" sz="1600">
                    <a:solidFill>
                      <a:srgbClr val="FF0000">
                        <a:alpha val="100000"/>
                      </a:srgbClr>
                    </a:solidFill>
                  </a:rPr>
                  <a:t>Q(L/S)</a:t>
                </a:r>
                <a:endParaRPr lang="en-US" sz="1600" b="1" i="0" u="none" strike="noStrike" baseline="0">
                  <a:solidFill>
                    <a:srgbClr val="FF0000">
                      <a:alpha val="100000"/>
                    </a:srgbClr>
                  </a:solidFill>
                  <a:latin typeface="黑体" panose="02010609060101010101" charset="-122"/>
                  <a:ea typeface="黑体" panose="02010609060101010101" charset="-122"/>
                  <a:cs typeface="黑体" panose="02010609060101010101" charset="-122"/>
                </a:endParaRPr>
              </a:p>
            </c:rich>
          </c:tx>
          <c:layout>
            <c:manualLayout>
              <c:xMode val="edge"/>
              <c:yMode val="edge"/>
              <c:x val="0.483923570013658"/>
              <c:y val="0.950302709173407"/>
            </c:manualLayout>
          </c:layout>
          <c:overlay val="0"/>
        </c:title>
        <c:numFmt formatCode="0.00_ " sourceLinked="0"/>
        <c:majorTickMark val="in"/>
        <c:minorTickMark val="in"/>
        <c:tickLblPos val="nextTo"/>
        <c:spPr>
          <a:noFill/>
          <a:ln w="25400" cap="flat" cmpd="sng" algn="ctr">
            <a:solidFill>
              <a:srgbClr val="000000">
                <a:alpha val="100000"/>
              </a:srgbClr>
            </a:solidFill>
            <a:prstDash val="solid"/>
            <a:round/>
          </a:ln>
          <a:effectLst/>
        </c:spPr>
        <c:txPr>
          <a:bodyPr rot="0" spcFirstLastPara="0" vertOverflow="ellipsis" vert="horz" wrap="square" anchor="ctr" anchorCtr="1"/>
          <a:lstStyle/>
          <a:p>
            <a:pPr>
              <a:defRPr lang="zh-CN" sz="875" b="1" i="0" u="none" strike="noStrike" kern="1200" baseline="0">
                <a:solidFill>
                  <a:srgbClr val="000000">
                    <a:alpha val="100000"/>
                  </a:srgbClr>
                </a:solidFill>
                <a:latin typeface="黑体" panose="02010609060101010101" charset="-122"/>
                <a:ea typeface="黑体" panose="02010609060101010101" charset="-122"/>
                <a:cs typeface="黑体" panose="02010609060101010101" charset="-122"/>
              </a:defRPr>
            </a:pPr>
          </a:p>
        </c:txPr>
        <c:crossAx val="377309811"/>
        <c:crosses val="autoZero"/>
        <c:crossBetween val="midCat"/>
        <c:majorUnit val="5"/>
      </c:valAx>
      <c:valAx>
        <c:axId val="377309811"/>
        <c:scaling>
          <c:orientation val="minMax"/>
          <c:min val="0"/>
        </c:scaling>
        <c:delete val="0"/>
        <c:axPos val="l"/>
        <c:majorGridlines>
          <c:spPr>
            <a:ln w="3175" cap="flat" cmpd="sng" algn="ctr">
              <a:solidFill>
                <a:srgbClr val="9999FF">
                  <a:alpha val="100000"/>
                </a:srgbClr>
              </a:solidFill>
              <a:prstDash val="dashDot"/>
              <a:round/>
            </a:ln>
            <a:effectLst/>
          </c:spPr>
        </c:majorGridlines>
        <c:minorGridlines>
          <c:spPr>
            <a:ln w="3175" cap="flat" cmpd="sng" algn="ctr">
              <a:solidFill>
                <a:srgbClr val="9999FF">
                  <a:alpha val="100000"/>
                </a:srgbClr>
              </a:solidFill>
              <a:prstDash val="dashDot"/>
              <a:round/>
            </a:ln>
            <a:effectLst/>
          </c:spPr>
        </c:minorGridlines>
        <c:title>
          <c:tx>
            <c:rich>
              <a:bodyPr rot="-5400000" spcFirstLastPara="0" vertOverflow="ellipsis" vert="horz" wrap="square" anchor="ctr" anchorCtr="1"/>
              <a:lstStyle/>
              <a:p>
                <a:pPr defTabSz="914400">
                  <a:defRPr lang="zh-CN" sz="1600" b="1" i="0" u="none" strike="noStrike" kern="1200" baseline="0">
                    <a:solidFill>
                      <a:srgbClr val="FF0000">
                        <a:alpha val="100000"/>
                      </a:srgbClr>
                    </a:solidFill>
                    <a:latin typeface="黑体" panose="02010609060101010101" charset="-122"/>
                    <a:ea typeface="黑体" panose="02010609060101010101" charset="-122"/>
                    <a:cs typeface="黑体" panose="02010609060101010101" charset="-122"/>
                  </a:defRPr>
                </a:pPr>
                <a:r>
                  <a:rPr lang="zh-CN" altLang="en-US" sz="1600">
                    <a:solidFill>
                      <a:srgbClr val="FF0000">
                        <a:alpha val="100000"/>
                      </a:srgbClr>
                    </a:solidFill>
                  </a:rPr>
                  <a:t>压力</a:t>
                </a:r>
                <a:r>
                  <a:rPr lang="en-US" sz="1600">
                    <a:solidFill>
                      <a:srgbClr val="FF0000">
                        <a:alpha val="100000"/>
                      </a:srgbClr>
                    </a:solidFill>
                  </a:rPr>
                  <a:t>P(MPa)</a:t>
                </a:r>
                <a:endParaRPr lang="en-US" sz="1600" b="1" i="0" u="none" strike="noStrike" baseline="0">
                  <a:solidFill>
                    <a:srgbClr val="FF0000">
                      <a:alpha val="100000"/>
                    </a:srgbClr>
                  </a:solidFill>
                  <a:latin typeface="黑体" panose="02010609060101010101" charset="-122"/>
                  <a:ea typeface="黑体" panose="02010609060101010101" charset="-122"/>
                  <a:cs typeface="黑体" panose="02010609060101010101" charset="-122"/>
                </a:endParaRPr>
              </a:p>
            </c:rich>
          </c:tx>
          <c:layout>
            <c:manualLayout>
              <c:xMode val="edge"/>
              <c:yMode val="edge"/>
              <c:x val="0.0926724137931035"/>
              <c:y val="0.480782449525456"/>
            </c:manualLayout>
          </c:layout>
          <c:overlay val="0"/>
        </c:title>
        <c:numFmt formatCode="0.00_ " sourceLinked="0"/>
        <c:majorTickMark val="in"/>
        <c:minorTickMark val="in"/>
        <c:tickLblPos val="nextTo"/>
        <c:spPr>
          <a:noFill/>
          <a:ln w="25400" cap="flat" cmpd="sng" algn="ctr">
            <a:solidFill>
              <a:srgbClr val="000000">
                <a:alpha val="100000"/>
              </a:srgbClr>
            </a:solidFill>
            <a:prstDash val="solid"/>
            <a:round/>
          </a:ln>
          <a:effectLst/>
        </c:spPr>
        <c:txPr>
          <a:bodyPr rot="0" spcFirstLastPara="0" vertOverflow="ellipsis" vert="horz" wrap="square" anchor="ctr" anchorCtr="1"/>
          <a:lstStyle/>
          <a:p>
            <a:pPr>
              <a:defRPr lang="zh-CN" sz="875" b="1" i="0" u="none" strike="noStrike" kern="1200" baseline="0">
                <a:solidFill>
                  <a:srgbClr val="000000">
                    <a:alpha val="100000"/>
                  </a:srgbClr>
                </a:solidFill>
                <a:latin typeface="黑体" panose="02010609060101010101" charset="-122"/>
                <a:ea typeface="黑体" panose="02010609060101010101" charset="-122"/>
                <a:cs typeface="黑体" panose="02010609060101010101" charset="-122"/>
              </a:defRPr>
            </a:pPr>
          </a:p>
        </c:txPr>
        <c:crossAx val="38656510"/>
        <c:crosses val="autoZero"/>
        <c:crossBetween val="midCat"/>
        <c:majorUnit val="5"/>
        <c:minorUnit val="1.43147928994083"/>
      </c:valAx>
      <c:spPr>
        <a:solidFill>
          <a:srgbClr val="C0C0C0">
            <a:alpha val="100000"/>
          </a:srgbClr>
        </a:solidFill>
        <a:ln w="12700">
          <a:solidFill>
            <a:srgbClr val="808080">
              <a:alpha val="100000"/>
            </a:srgbClr>
          </a:solidFill>
          <a:prstDash val="solid"/>
        </a:ln>
        <a:effectLst/>
      </c:spPr>
    </c:plotArea>
    <c:legend>
      <c:legendPos val="r"/>
      <c:layout>
        <c:manualLayout>
          <c:xMode val="edge"/>
          <c:yMode val="edge"/>
          <c:x val="0.6505"/>
          <c:y val="0.15175"/>
          <c:w val="0.336"/>
          <c:h val="0.29625"/>
        </c:manualLayout>
      </c:layout>
      <c:overlay val="0"/>
      <c:spPr>
        <a:noFill/>
        <a:ln w="3175">
          <a:noFill/>
        </a:ln>
      </c:spPr>
      <c:txPr>
        <a:bodyPr rot="0" spcFirstLastPara="0" vertOverflow="ellipsis" vert="horz" wrap="square" anchor="ctr" anchorCtr="1"/>
        <a:lstStyle/>
        <a:p>
          <a:pPr>
            <a:defRPr lang="zh-CN" sz="925" b="1" i="0" u="none" strike="noStrike" kern="1200" baseline="0">
              <a:solidFill>
                <a:srgbClr val="000000"/>
              </a:solidFill>
              <a:latin typeface="黑体" panose="02010609060101010101" charset="-122"/>
              <a:ea typeface="黑体" panose="02010609060101010101" charset="-122"/>
              <a:cs typeface="黑体" panose="02010609060101010101" charset="-122"/>
            </a:defRPr>
          </a:pPr>
        </a:p>
      </c:txPr>
    </c:legend>
    <c:plotVisOnly val="1"/>
    <c:dispBlanksAs val="gap"/>
    <c:showDLblsOverMax val="0"/>
    <c:extLst>
      <c:ext uri="{0b15fc19-7d7d-44ad-8c2d-2c3a37ce22c3}">
        <chartProps xmlns="https://web.wps.cn/et/2018/main" chartId="{511260ab-518b-4f3b-a55b-95625069830f}"/>
      </c:ext>
    </c:extLst>
  </c:chart>
  <c:spPr>
    <a:solidFill>
      <a:srgbClr val="99CCFF">
        <a:alpha val="100000"/>
      </a:srgbClr>
    </a:solidFill>
    <a:ln w="3175" cap="flat" cmpd="sng" algn="ctr">
      <a:solidFill>
        <a:srgbClr val="000000">
          <a:alpha val="100000"/>
        </a:srgbClr>
      </a:solidFill>
      <a:prstDash val="solid"/>
      <a:round/>
    </a:ln>
    <a:effectLst/>
  </c:spPr>
  <c:txPr>
    <a:bodyPr rot="0" wrap="square" anchor="ctr" anchorCtr="1"/>
    <a:lstStyle/>
    <a:p>
      <a:pPr>
        <a:defRPr lang="zh-CN" sz="1200" b="0" i="0" u="none" strike="noStrike" baseline="0">
          <a:solidFill>
            <a:srgbClr val="000000">
              <a:alpha val="100000"/>
            </a:srgbClr>
          </a:solidFill>
          <a:latin typeface="宋体" panose="02010600030101010101" pitchFamily="7" charset="-122"/>
          <a:ea typeface="宋体" panose="02010600030101010101" pitchFamily="7" charset="-122"/>
          <a:cs typeface="宋体" panose="02010600030101010101" pitchFamily="7" charset="-122"/>
        </a:defRPr>
      </a:pPr>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5" Type="http://schemas.openxmlformats.org/officeDocument/2006/relationships/image" Target="../media/image4.emf"/><Relationship Id="rId4" Type="http://schemas.openxmlformats.org/officeDocument/2006/relationships/image" Target="../media/image3.emf"/><Relationship Id="rId3" Type="http://schemas.openxmlformats.org/officeDocument/2006/relationships/image" Target="../media/image2.emf"/><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9" Type="http://schemas.openxmlformats.org/officeDocument/2006/relationships/image" Target="../media/image14.png"/><Relationship Id="rId8" Type="http://schemas.openxmlformats.org/officeDocument/2006/relationships/image" Target="../media/image13.png"/><Relationship Id="rId7" Type="http://schemas.openxmlformats.org/officeDocument/2006/relationships/image" Target="../media/image12.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3" Type="http://schemas.openxmlformats.org/officeDocument/2006/relationships/image" Target="../media/image8.png"/><Relationship Id="rId2" Type="http://schemas.openxmlformats.org/officeDocument/2006/relationships/image" Target="../media/image7.png"/><Relationship Id="rId12" Type="http://schemas.openxmlformats.org/officeDocument/2006/relationships/image" Target="../media/image17.png"/><Relationship Id="rId11" Type="http://schemas.openxmlformats.org/officeDocument/2006/relationships/image" Target="../media/image16.png"/><Relationship Id="rId10" Type="http://schemas.openxmlformats.org/officeDocument/2006/relationships/image" Target="../media/image15.png"/><Relationship Id="rId1" Type="http://schemas.openxmlformats.org/officeDocument/2006/relationships/image" Target="../media/image6.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3</xdr:col>
      <xdr:colOff>914400</xdr:colOff>
      <xdr:row>48</xdr:row>
      <xdr:rowOff>18415</xdr:rowOff>
    </xdr:from>
    <xdr:to>
      <xdr:col>9</xdr:col>
      <xdr:colOff>838200</xdr:colOff>
      <xdr:row>74</xdr:row>
      <xdr:rowOff>105410</xdr:rowOff>
    </xdr:to>
    <xdr:graphicFrame>
      <xdr:nvGraphicFramePr>
        <xdr:cNvPr id="122787" name="Chart 1"/>
        <xdr:cNvGraphicFramePr/>
      </xdr:nvGraphicFramePr>
      <xdr:xfrm>
        <a:off x="5105400" y="11653520"/>
        <a:ext cx="5800725" cy="638238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1164590</xdr:colOff>
      <xdr:row>58</xdr:row>
      <xdr:rowOff>34925</xdr:rowOff>
    </xdr:from>
    <xdr:to>
      <xdr:col>8</xdr:col>
      <xdr:colOff>164465</xdr:colOff>
      <xdr:row>58</xdr:row>
      <xdr:rowOff>234950</xdr:rowOff>
    </xdr:to>
    <xdr:sp>
      <xdr:nvSpPr>
        <xdr:cNvPr id="122788" name="Rectangle 2"/>
        <xdr:cNvSpPr/>
      </xdr:nvSpPr>
      <xdr:spPr>
        <a:xfrm>
          <a:off x="9127490" y="13695680"/>
          <a:ext cx="409575" cy="167640"/>
        </a:xfrm>
        <a:prstGeom prst="rect">
          <a:avLst/>
        </a:prstGeom>
        <a:noFill/>
        <a:ln w="22225" cap="flat" cmpd="sng">
          <a:solidFill>
            <a:srgbClr xmlns:mc="http://schemas.openxmlformats.org/markup-compatibility/2006" xmlns:a14="http://schemas.microsoft.com/office/drawing/2010/main" val="FF0000" mc:Ignorable="a14" a14:legacySpreadsheetColorIndex="10"/>
          </a:solidFill>
          <a:prstDash val="solid"/>
          <a:miter/>
          <a:headEnd type="none" w="med" len="med"/>
          <a:tailEnd type="none" w="med" len="med"/>
        </a:ln>
      </xdr:spPr>
    </xdr:sp>
    <xdr:clientData/>
  </xdr:twoCellAnchor>
  <xdr:twoCellAnchor>
    <xdr:from>
      <xdr:col>5</xdr:col>
      <xdr:colOff>309880</xdr:colOff>
      <xdr:row>106</xdr:row>
      <xdr:rowOff>144780</xdr:rowOff>
    </xdr:from>
    <xdr:to>
      <xdr:col>11</xdr:col>
      <xdr:colOff>520065</xdr:colOff>
      <xdr:row>128</xdr:row>
      <xdr:rowOff>144145</xdr:rowOff>
    </xdr:to>
    <xdr:grpSp>
      <xdr:nvGrpSpPr>
        <xdr:cNvPr id="122789" name="组合 7"/>
        <xdr:cNvGrpSpPr/>
      </xdr:nvGrpSpPr>
      <xdr:grpSpPr>
        <a:xfrm>
          <a:off x="6863080" y="24088090"/>
          <a:ext cx="4572635" cy="4337685"/>
          <a:chOff x="5858773" y="23869185"/>
          <a:chExt cx="3198883" cy="3461413"/>
        </a:xfrm>
      </xdr:grpSpPr>
      <xdr:pic>
        <xdr:nvPicPr>
          <xdr:cNvPr id="122790" name="图片 2"/>
          <xdr:cNvPicPr>
            <a:picLocks noChangeAspect="1"/>
          </xdr:cNvPicPr>
        </xdr:nvPicPr>
        <xdr:blipFill>
          <a:blip r:embed="rId2"/>
          <a:stretch>
            <a:fillRect/>
          </a:stretch>
        </xdr:blipFill>
        <xdr:spPr>
          <a:xfrm>
            <a:off x="5858773" y="23869185"/>
            <a:ext cx="3198883" cy="2947477"/>
          </a:xfrm>
          <a:prstGeom prst="rect">
            <a:avLst/>
          </a:prstGeom>
          <a:noFill/>
          <a:ln w="9525">
            <a:noFill/>
          </a:ln>
        </xdr:spPr>
      </xdr:pic>
      <xdr:sp>
        <xdr:nvSpPr>
          <xdr:cNvPr id="2" name="矩形 3"/>
          <xdr:cNvSpPr/>
        </xdr:nvSpPr>
        <xdr:spPr>
          <a:xfrm>
            <a:off x="5966571" y="26793809"/>
            <a:ext cx="2892347" cy="536789"/>
          </a:xfrm>
          <a:prstGeom prst="rect">
            <a:avLst/>
          </a:prstGeom>
          <a:solidFill>
            <a:srgbClr xmlns:mc="http://schemas.openxmlformats.org/markup-compatibility/2006" xmlns:a14="http://schemas.microsoft.com/office/drawing/2010/main" val="FFFFFF" mc:Ignorable="a14" a14:legacySpreadsheetColorIndex="9"/>
          </a:solidFill>
          <a:ln w="9525" cap="flat" cmpd="sng">
            <a:noFill/>
            <a:prstDash val="solid"/>
            <a:headEnd type="none" w="med" len="med"/>
            <a:tailEnd type="none" w="med" len="med"/>
          </a:ln>
        </xdr:spPr>
        <xdr:txBody>
          <a:bodyPr vertOverflow="clip" horzOverflow="clip" rtlCol="0" anchor="t"/>
          <a:lstStyle/>
          <a:p>
            <a:pPr algn="ctr"/>
            <a:r>
              <a:rPr lang="zh-CN" altLang="en-US" sz="2000"/>
              <a:t>内浇口速度的经验值</a:t>
            </a:r>
            <a:endParaRPr lang="en-US" altLang="zh-CN" sz="2000"/>
          </a:p>
          <a:p>
            <a:pPr algn="ctr"/>
            <a:r>
              <a:rPr lang="zh-CN" altLang="en-US" sz="1600"/>
              <a:t>德国铸造手册中推荐值</a:t>
            </a:r>
            <a:endParaRPr lang="zh-CN" altLang="en-US" sz="1600"/>
          </a:p>
          <a:p>
            <a:pPr algn="l">
              <a:lnSpc>
                <a:spcPts val="1200"/>
              </a:lnSpc>
            </a:pPr>
            <a:endParaRPr lang="zh-CN" altLang="en-US" sz="1600"/>
          </a:p>
        </xdr:txBody>
      </xdr:sp>
    </xdr:grpSp>
    <xdr:clientData/>
  </xdr:twoCellAnchor>
  <xdr:twoCellAnchor>
    <xdr:from>
      <xdr:col>4</xdr:col>
      <xdr:colOff>173355</xdr:colOff>
      <xdr:row>92</xdr:row>
      <xdr:rowOff>70485</xdr:rowOff>
    </xdr:from>
    <xdr:to>
      <xdr:col>11</xdr:col>
      <xdr:colOff>474980</xdr:colOff>
      <xdr:row>105</xdr:row>
      <xdr:rowOff>111760</xdr:rowOff>
    </xdr:to>
    <xdr:pic>
      <xdr:nvPicPr>
        <xdr:cNvPr id="122792" name="图片 10"/>
        <xdr:cNvPicPr>
          <a:picLocks noChangeAspect="1"/>
        </xdr:cNvPicPr>
      </xdr:nvPicPr>
      <xdr:blipFill>
        <a:blip r:embed="rId3"/>
        <a:stretch>
          <a:fillRect/>
        </a:stretch>
      </xdr:blipFill>
      <xdr:spPr>
        <a:xfrm>
          <a:off x="5278755" y="21422995"/>
          <a:ext cx="6111875" cy="2451100"/>
        </a:xfrm>
        <a:prstGeom prst="rect">
          <a:avLst/>
        </a:prstGeom>
        <a:noFill/>
        <a:ln w="9525">
          <a:noFill/>
        </a:ln>
      </xdr:spPr>
    </xdr:pic>
    <xdr:clientData/>
  </xdr:twoCellAnchor>
  <xdr:twoCellAnchor>
    <xdr:from>
      <xdr:col>0</xdr:col>
      <xdr:colOff>393700</xdr:colOff>
      <xdr:row>144</xdr:row>
      <xdr:rowOff>50800</xdr:rowOff>
    </xdr:from>
    <xdr:to>
      <xdr:col>5</xdr:col>
      <xdr:colOff>102235</xdr:colOff>
      <xdr:row>173</xdr:row>
      <xdr:rowOff>101600</xdr:rowOff>
    </xdr:to>
    <xdr:pic>
      <xdr:nvPicPr>
        <xdr:cNvPr id="3" name="图片 2"/>
        <xdr:cNvPicPr>
          <a:picLocks noChangeAspect="1"/>
        </xdr:cNvPicPr>
      </xdr:nvPicPr>
      <xdr:blipFill>
        <a:blip r:embed="rId4"/>
        <a:srcRect t="5314"/>
        <a:stretch>
          <a:fillRect/>
        </a:stretch>
      </xdr:blipFill>
      <xdr:spPr>
        <a:xfrm>
          <a:off x="393700" y="32374840"/>
          <a:ext cx="6261735" cy="5299075"/>
        </a:xfrm>
        <a:prstGeom prst="rect">
          <a:avLst/>
        </a:prstGeom>
        <a:ln>
          <a:solidFill>
            <a:schemeClr val="tx1"/>
          </a:solidFill>
        </a:ln>
      </xdr:spPr>
    </xdr:pic>
    <xdr:clientData/>
  </xdr:twoCellAnchor>
  <xdr:twoCellAnchor>
    <xdr:from>
      <xdr:col>5</xdr:col>
      <xdr:colOff>247650</xdr:colOff>
      <xdr:row>147</xdr:row>
      <xdr:rowOff>44450</xdr:rowOff>
    </xdr:from>
    <xdr:to>
      <xdr:col>12</xdr:col>
      <xdr:colOff>1229995</xdr:colOff>
      <xdr:row>173</xdr:row>
      <xdr:rowOff>55245</xdr:rowOff>
    </xdr:to>
    <xdr:pic>
      <xdr:nvPicPr>
        <xdr:cNvPr id="4" name="图片 3"/>
        <xdr:cNvPicPr>
          <a:picLocks noChangeAspect="1"/>
        </xdr:cNvPicPr>
      </xdr:nvPicPr>
      <xdr:blipFill>
        <a:blip r:embed="rId5"/>
        <a:srcRect l="1888" t="9362" r="12449"/>
        <a:stretch>
          <a:fillRect/>
        </a:stretch>
      </xdr:blipFill>
      <xdr:spPr>
        <a:xfrm>
          <a:off x="6800850" y="32911415"/>
          <a:ext cx="6030595" cy="4716145"/>
        </a:xfrm>
        <a:prstGeom prst="rect">
          <a:avLst/>
        </a:prstGeom>
      </xdr:spPr>
    </xdr:pic>
    <xdr:clientData/>
  </xdr:twoCellAnchor>
  <xdr:twoCellAnchor>
    <xdr:from>
      <xdr:col>2</xdr:col>
      <xdr:colOff>1473200</xdr:colOff>
      <xdr:row>177</xdr:row>
      <xdr:rowOff>38100</xdr:rowOff>
    </xdr:from>
    <xdr:to>
      <xdr:col>8</xdr:col>
      <xdr:colOff>434975</xdr:colOff>
      <xdr:row>180</xdr:row>
      <xdr:rowOff>19685</xdr:rowOff>
    </xdr:to>
    <xdr:sp>
      <xdr:nvSpPr>
        <xdr:cNvPr id="5" name="文本框 4"/>
        <xdr:cNvSpPr txBox="1"/>
      </xdr:nvSpPr>
      <xdr:spPr>
        <a:xfrm>
          <a:off x="4140200" y="38334315"/>
          <a:ext cx="5667375" cy="52451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p>
          <a:pPr algn="l"/>
          <a:r>
            <a:rPr lang="zh-CN" altLang="en-US" sz="2400">
              <a:solidFill>
                <a:srgbClr val="2C10FA"/>
              </a:solidFill>
            </a:rPr>
            <a:t>初选基本参数</a:t>
          </a:r>
          <a:r>
            <a:rPr lang="en-US" altLang="zh-CN" sz="2400">
              <a:solidFill>
                <a:srgbClr val="2C10FA"/>
              </a:solidFill>
            </a:rPr>
            <a:t>  +   </a:t>
          </a:r>
          <a:r>
            <a:rPr lang="zh-CN" altLang="en-US" sz="2400">
              <a:solidFill>
                <a:srgbClr val="2C10FA"/>
              </a:solidFill>
            </a:rPr>
            <a:t>加权参数</a:t>
          </a:r>
          <a:r>
            <a:rPr lang="en-US" altLang="zh-CN" sz="2400">
              <a:solidFill>
                <a:srgbClr val="2C10FA"/>
              </a:solidFill>
            </a:rPr>
            <a:t>  =  </a:t>
          </a:r>
          <a:r>
            <a:rPr lang="zh-CN" altLang="en-US" sz="2400">
              <a:solidFill>
                <a:srgbClr val="2C10FA"/>
              </a:solidFill>
            </a:rPr>
            <a:t>选定参数</a:t>
          </a:r>
          <a:endParaRPr lang="zh-CN" altLang="en-US" sz="2400">
            <a:solidFill>
              <a:srgbClr val="2C10FA"/>
            </a:solidFill>
          </a:endParaRPr>
        </a:p>
      </xdr:txBody>
    </xdr:sp>
    <xdr:clientData/>
  </xdr:twoCellAnchor>
  <xdr:twoCellAnchor>
    <xdr:from>
      <xdr:col>3</xdr:col>
      <xdr:colOff>112712</xdr:colOff>
      <xdr:row>169</xdr:row>
      <xdr:rowOff>175577</xdr:rowOff>
    </xdr:from>
    <xdr:to>
      <xdr:col>3</xdr:col>
      <xdr:colOff>557212</xdr:colOff>
      <xdr:row>177</xdr:row>
      <xdr:rowOff>94932</xdr:rowOff>
    </xdr:to>
    <xdr:sp>
      <xdr:nvSpPr>
        <xdr:cNvPr id="6" name="右箭头 5"/>
        <xdr:cNvSpPr/>
      </xdr:nvSpPr>
      <xdr:spPr>
        <a:xfrm rot="3840000">
          <a:off x="3841750" y="37484685"/>
          <a:ext cx="1367155" cy="444500"/>
        </a:xfrm>
        <a:prstGeom prst="rightArrow">
          <a:avLst/>
        </a:prstGeom>
        <a:noFill/>
        <a:ln w="19050" cap="flat" cmpd="sng">
          <a:solidFill>
            <a:srgbClr val="FF0000"/>
          </a:solidFill>
          <a:prstDash val="solid"/>
          <a:headEnd type="none" w="med" len="med"/>
          <a:tailEnd type="none" w="med" len="med"/>
        </a:ln>
        <a:extLst>
          <a:ext uri="{909E8E84-426E-40DD-AFC4-6F175D3DCCD1}">
            <a14:hiddenFill xmlns:a14="http://schemas.microsoft.com/office/drawing/2010/main">
              <a:solidFill>
                <a:srgbClr xmlns:mc="http://schemas.openxmlformats.org/markup-compatibility/2006" xmlns:a14="http://schemas.microsoft.com/office/drawing/2010/main" val="FFFFFF" mc:Ignorable="a14" a14:legacySpreadsheetColorIndex="9"/>
              </a:solidFill>
            </a14:hiddenFill>
          </a:ext>
        </a:extLst>
      </xdr:spPr>
      <xdr:txBody>
        <a:bodyPr/>
        <a:p>
          <a:endParaRPr lang="zh-CN" altLang="en-US"/>
        </a:p>
      </xdr:txBody>
    </xdr:sp>
    <xdr:clientData/>
  </xdr:twoCellAnchor>
  <xdr:twoCellAnchor>
    <xdr:from>
      <xdr:col>6</xdr:col>
      <xdr:colOff>21272</xdr:colOff>
      <xdr:row>170</xdr:row>
      <xdr:rowOff>25717</xdr:rowOff>
    </xdr:from>
    <xdr:to>
      <xdr:col>6</xdr:col>
      <xdr:colOff>465772</xdr:colOff>
      <xdr:row>177</xdr:row>
      <xdr:rowOff>135572</xdr:rowOff>
    </xdr:to>
    <xdr:sp>
      <xdr:nvSpPr>
        <xdr:cNvPr id="7" name="右箭头 6"/>
        <xdr:cNvSpPr/>
      </xdr:nvSpPr>
      <xdr:spPr>
        <a:xfrm rot="7020000">
          <a:off x="6831965" y="37520880"/>
          <a:ext cx="1376680" cy="444500"/>
        </a:xfrm>
        <a:prstGeom prst="rightArrow">
          <a:avLst/>
        </a:prstGeom>
        <a:noFill/>
        <a:ln w="19050" cap="flat" cmpd="sng">
          <a:solidFill>
            <a:srgbClr val="FF0000"/>
          </a:solidFill>
          <a:prstDash val="solid"/>
          <a:headEnd type="none" w="med" len="med"/>
          <a:tailEnd type="none" w="med" len="med"/>
        </a:ln>
        <a:extLst>
          <a:ext uri="{909E8E84-426E-40DD-AFC4-6F175D3DCCD1}">
            <a14:hiddenFill xmlns:a14="http://schemas.microsoft.com/office/drawing/2010/main">
              <a:solidFill>
                <a:srgbClr xmlns:mc="http://schemas.openxmlformats.org/markup-compatibility/2006" xmlns:a14="http://schemas.microsoft.com/office/drawing/2010/main" val="FFFFFF" mc:Ignorable="a14" a14:legacySpreadsheetColorIndex="9"/>
              </a:solidFill>
            </a14:hiddenFill>
          </a:ext>
        </a:extLst>
      </xdr:spPr>
      <xdr:txBody>
        <a:bodyPr/>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endParaRPr lang="zh-CN" altLang="en-US"/>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8</xdr:col>
      <xdr:colOff>49530</xdr:colOff>
      <xdr:row>22</xdr:row>
      <xdr:rowOff>85090</xdr:rowOff>
    </xdr:from>
    <xdr:to>
      <xdr:col>8</xdr:col>
      <xdr:colOff>384175</xdr:colOff>
      <xdr:row>30</xdr:row>
      <xdr:rowOff>98425</xdr:rowOff>
    </xdr:to>
    <xdr:sp>
      <xdr:nvSpPr>
        <xdr:cNvPr id="9" name="矩形 8"/>
        <xdr:cNvSpPr/>
      </xdr:nvSpPr>
      <xdr:spPr>
        <a:xfrm>
          <a:off x="8088630" y="4783455"/>
          <a:ext cx="334645" cy="1461135"/>
        </a:xfrm>
        <a:prstGeom prst="rect">
          <a:avLst/>
        </a:prstGeom>
        <a:solidFill>
          <a:schemeClr val="accent2">
            <a:lumMod val="20000"/>
            <a:lumOff val="80000"/>
          </a:schemeClr>
        </a:solidFill>
        <a:ln w="9525" cap="flat" cmpd="sng">
          <a:solidFill>
            <a:sysClr val="windowText" lastClr="000000"/>
          </a:solidFill>
          <a:prstDash val="solid"/>
          <a:headEnd type="none" w="med" len="med"/>
          <a:tailEnd type="none" w="med" len="med"/>
        </a:ln>
      </xdr:spPr>
      <xdr:txBody>
        <a:bodyPr/>
        <a:p>
          <a:endParaRPr lang="zh-CN" altLang="en-US"/>
        </a:p>
      </xdr:txBody>
    </xdr:sp>
    <xdr:clientData/>
  </xdr:twoCellAnchor>
  <xdr:twoCellAnchor>
    <xdr:from>
      <xdr:col>7</xdr:col>
      <xdr:colOff>168910</xdr:colOff>
      <xdr:row>23</xdr:row>
      <xdr:rowOff>52070</xdr:rowOff>
    </xdr:from>
    <xdr:to>
      <xdr:col>8</xdr:col>
      <xdr:colOff>46990</xdr:colOff>
      <xdr:row>29</xdr:row>
      <xdr:rowOff>115570</xdr:rowOff>
    </xdr:to>
    <xdr:sp>
      <xdr:nvSpPr>
        <xdr:cNvPr id="10" name="矩形 9"/>
        <xdr:cNvSpPr/>
      </xdr:nvSpPr>
      <xdr:spPr>
        <a:xfrm>
          <a:off x="6693535" y="4931410"/>
          <a:ext cx="1392555" cy="1149350"/>
        </a:xfrm>
        <a:prstGeom prst="rect">
          <a:avLst/>
        </a:prstGeom>
        <a:solidFill>
          <a:schemeClr val="accent2">
            <a:lumMod val="20000"/>
            <a:lumOff val="80000"/>
          </a:schemeClr>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a:p>
          <a:endParaRPr lang="zh-CN" altLang="en-US"/>
        </a:p>
      </xdr:txBody>
    </xdr:sp>
    <xdr:clientData/>
  </xdr:twoCellAnchor>
  <xdr:twoCellAnchor>
    <xdr:from>
      <xdr:col>6</xdr:col>
      <xdr:colOff>916940</xdr:colOff>
      <xdr:row>21</xdr:row>
      <xdr:rowOff>142240</xdr:rowOff>
    </xdr:from>
    <xdr:to>
      <xdr:col>7</xdr:col>
      <xdr:colOff>158115</xdr:colOff>
      <xdr:row>31</xdr:row>
      <xdr:rowOff>41910</xdr:rowOff>
    </xdr:to>
    <xdr:sp>
      <xdr:nvSpPr>
        <xdr:cNvPr id="11" name="矩形 10"/>
        <xdr:cNvSpPr/>
      </xdr:nvSpPr>
      <xdr:spPr>
        <a:xfrm>
          <a:off x="5927090" y="4659630"/>
          <a:ext cx="755650" cy="1709420"/>
        </a:xfrm>
        <a:prstGeom prst="rect">
          <a:avLst/>
        </a:prstGeom>
        <a:solidFill>
          <a:schemeClr val="bg1">
            <a:lumMod val="50000"/>
          </a:schemeClr>
        </a:solidFill>
        <a:ln w="9525" cap="flat" cmpd="sng">
          <a:solidFill>
            <a:schemeClr val="bg1">
              <a:lumMod val="50000"/>
            </a:schemeClr>
          </a:solidFill>
          <a:prstDash val="solid"/>
          <a:headEnd type="none" w="med" len="med"/>
          <a:tailEnd type="none" w="med" len="med"/>
        </a:ln>
      </xdr:spPr>
      <xdr:txBody>
        <a:bodyPr/>
        <a:p>
          <a:endParaRPr lang="zh-CN" altLang="en-US"/>
        </a:p>
      </xdr:txBody>
    </xdr:sp>
    <xdr:clientData/>
  </xdr:twoCellAnchor>
  <xdr:twoCellAnchor>
    <xdr:from>
      <xdr:col>7</xdr:col>
      <xdr:colOff>161925</xdr:colOff>
      <xdr:row>24</xdr:row>
      <xdr:rowOff>144145</xdr:rowOff>
    </xdr:from>
    <xdr:to>
      <xdr:col>7</xdr:col>
      <xdr:colOff>516255</xdr:colOff>
      <xdr:row>28</xdr:row>
      <xdr:rowOff>41275</xdr:rowOff>
    </xdr:to>
    <xdr:sp>
      <xdr:nvSpPr>
        <xdr:cNvPr id="12" name="梯形 11"/>
        <xdr:cNvSpPr/>
      </xdr:nvSpPr>
      <xdr:spPr>
        <a:xfrm rot="5400000">
          <a:off x="6553200" y="5337810"/>
          <a:ext cx="621030" cy="354330"/>
        </a:xfrm>
        <a:prstGeom prst="trapezoid">
          <a:avLst/>
        </a:prstGeom>
        <a:solidFill>
          <a:schemeClr val="bg1">
            <a:lumMod val="50000"/>
          </a:schemeClr>
        </a:solidFill>
        <a:ln w="9525" cap="flat" cmpd="sng">
          <a:solidFill>
            <a:schemeClr val="bg1">
              <a:lumMod val="50000"/>
            </a:schemeClr>
          </a:solidFill>
          <a:prstDash val="solid"/>
          <a:headEnd type="none" w="med" len="med"/>
          <a:tailEnd type="none" w="med" len="med"/>
        </a:ln>
      </xdr:spPr>
      <xdr:txBody>
        <a:bodyPr/>
        <a:p>
          <a:endParaRPr lang="zh-CN" altLang="en-US"/>
        </a:p>
      </xdr:txBody>
    </xdr:sp>
    <xdr:clientData/>
  </xdr:twoCellAnchor>
  <xdr:twoCellAnchor>
    <xdr:from>
      <xdr:col>6</xdr:col>
      <xdr:colOff>1490980</xdr:colOff>
      <xdr:row>21</xdr:row>
      <xdr:rowOff>131445</xdr:rowOff>
    </xdr:from>
    <xdr:to>
      <xdr:col>7</xdr:col>
      <xdr:colOff>564515</xdr:colOff>
      <xdr:row>27</xdr:row>
      <xdr:rowOff>31115</xdr:rowOff>
    </xdr:to>
    <xdr:sp>
      <xdr:nvSpPr>
        <xdr:cNvPr id="14" name="任意多边形 13"/>
        <xdr:cNvSpPr/>
      </xdr:nvSpPr>
      <xdr:spPr>
        <a:xfrm>
          <a:off x="6501130" y="4648835"/>
          <a:ext cx="588010" cy="985520"/>
        </a:xfrm>
        <a:custGeom>
          <a:avLst/>
          <a:gdLst>
            <a:gd name="connisteX0" fmla="*/ 79223 w 617421"/>
            <a:gd name="connsiteY0" fmla="*/ 593 h 1132960"/>
            <a:gd name="connisteX1" fmla="*/ 157963 w 617421"/>
            <a:gd name="connsiteY1" fmla="*/ 5673 h 1132960"/>
            <a:gd name="connisteX2" fmla="*/ 197968 w 617421"/>
            <a:gd name="connsiteY2" fmla="*/ 5673 h 1132960"/>
            <a:gd name="connisteX3" fmla="*/ 226543 w 617421"/>
            <a:gd name="connsiteY3" fmla="*/ 24723 h 1132960"/>
            <a:gd name="connisteX4" fmla="*/ 229083 w 617421"/>
            <a:gd name="connsiteY4" fmla="*/ 151088 h 1132960"/>
            <a:gd name="connisteX5" fmla="*/ 229083 w 617421"/>
            <a:gd name="connsiteY5" fmla="*/ 272373 h 1132960"/>
            <a:gd name="connisteX6" fmla="*/ 231623 w 617421"/>
            <a:gd name="connsiteY6" fmla="*/ 415248 h 1132960"/>
            <a:gd name="connisteX7" fmla="*/ 236068 w 617421"/>
            <a:gd name="connsiteY7" fmla="*/ 546058 h 1132960"/>
            <a:gd name="connisteX8" fmla="*/ 276708 w 617421"/>
            <a:gd name="connsiteY8" fmla="*/ 622258 h 1132960"/>
            <a:gd name="connisteX9" fmla="*/ 393548 w 617421"/>
            <a:gd name="connsiteY9" fmla="*/ 672423 h 1132960"/>
            <a:gd name="connisteX10" fmla="*/ 502768 w 617421"/>
            <a:gd name="connsiteY10" fmla="*/ 700998 h 1132960"/>
            <a:gd name="connisteX11" fmla="*/ 603098 w 617421"/>
            <a:gd name="connsiteY11" fmla="*/ 713063 h 1132960"/>
            <a:gd name="connisteX12" fmla="*/ 615163 w 617421"/>
            <a:gd name="connsiteY12" fmla="*/ 746083 h 1132960"/>
            <a:gd name="connisteX13" fmla="*/ 617068 w 617421"/>
            <a:gd name="connsiteY13" fmla="*/ 869908 h 1132960"/>
            <a:gd name="connisteX14" fmla="*/ 612623 w 617421"/>
            <a:gd name="connsiteY14" fmla="*/ 1008338 h 1132960"/>
            <a:gd name="connisteX15" fmla="*/ 612623 w 617421"/>
            <a:gd name="connsiteY15" fmla="*/ 1079458 h 1132960"/>
            <a:gd name="connisteX16" fmla="*/ 603098 w 617421"/>
            <a:gd name="connsiteY16" fmla="*/ 1124543 h 1132960"/>
            <a:gd name="connisteX17" fmla="*/ 581508 w 617421"/>
            <a:gd name="connsiteY17" fmla="*/ 1124543 h 1132960"/>
            <a:gd name="connisteX18" fmla="*/ 550393 w 617421"/>
            <a:gd name="connsiteY18" fmla="*/ 1057868 h 1132960"/>
            <a:gd name="connisteX19" fmla="*/ 498323 w 617421"/>
            <a:gd name="connsiteY19" fmla="*/ 965158 h 1132960"/>
            <a:gd name="connisteX20" fmla="*/ 343383 w 617421"/>
            <a:gd name="connsiteY20" fmla="*/ 910548 h 1132960"/>
            <a:gd name="connisteX21" fmla="*/ 167488 w 617421"/>
            <a:gd name="connsiteY21" fmla="*/ 829268 h 1132960"/>
            <a:gd name="connisteX22" fmla="*/ 67158 w 617421"/>
            <a:gd name="connsiteY22" fmla="*/ 722588 h 1132960"/>
            <a:gd name="connisteX23" fmla="*/ 22073 w 617421"/>
            <a:gd name="connsiteY23" fmla="*/ 603208 h 1132960"/>
            <a:gd name="connisteX24" fmla="*/ 10008 w 617421"/>
            <a:gd name="connsiteY24" fmla="*/ 460333 h 1132960"/>
            <a:gd name="connisteX25" fmla="*/ 15088 w 617421"/>
            <a:gd name="connsiteY25" fmla="*/ 205698 h 1132960"/>
            <a:gd name="connisteX26" fmla="*/ 10008 w 617421"/>
            <a:gd name="connsiteY26" fmla="*/ 60283 h 1132960"/>
            <a:gd name="connisteX27" fmla="*/ 5563 w 617421"/>
            <a:gd name="connsiteY27" fmla="*/ 17738 h 1132960"/>
            <a:gd name="connisteX28" fmla="*/ 79223 w 617421"/>
            <a:gd name="connsiteY28" fmla="*/ 593 h 1132960"/>
          </a:gdLst>
          <a:ahLst/>
          <a:cxnLst>
            <a:cxn ang="0">
              <a:pos x="connisteX0" y="connsiteY0"/>
            </a:cxn>
            <a:cxn ang="0">
              <a:pos x="connisteX1" y="connsiteY1"/>
            </a:cxn>
            <a:cxn ang="0">
              <a:pos x="connisteX2" y="connsiteY2"/>
            </a:cxn>
            <a:cxn ang="0">
              <a:pos x="connisteX3" y="connsiteY3"/>
            </a:cxn>
            <a:cxn ang="0">
              <a:pos x="connisteX4" y="connsiteY4"/>
            </a:cxn>
            <a:cxn ang="0">
              <a:pos x="connisteX5" y="connsiteY5"/>
            </a:cxn>
            <a:cxn ang="0">
              <a:pos x="connisteX6" y="connsiteY6"/>
            </a:cxn>
            <a:cxn ang="0">
              <a:pos x="connisteX7" y="connsiteY7"/>
            </a:cxn>
            <a:cxn ang="0">
              <a:pos x="connisteX8" y="connsiteY8"/>
            </a:cxn>
            <a:cxn ang="0">
              <a:pos x="connisteX9" y="connsiteY9"/>
            </a:cxn>
            <a:cxn ang="0">
              <a:pos x="connisteX10" y="connsiteY10"/>
            </a:cxn>
            <a:cxn ang="0">
              <a:pos x="connisteX11" y="connsiteY11"/>
            </a:cxn>
            <a:cxn ang="0">
              <a:pos x="connisteX12" y="connsiteY12"/>
            </a:cxn>
            <a:cxn ang="0">
              <a:pos x="connisteX13" y="connsiteY13"/>
            </a:cxn>
            <a:cxn ang="0">
              <a:pos x="connisteX14" y="connsiteY14"/>
            </a:cxn>
            <a:cxn ang="0">
              <a:pos x="connisteX15" y="connsiteY15"/>
            </a:cxn>
            <a:cxn ang="0">
              <a:pos x="connisteX16" y="connsiteY16"/>
            </a:cxn>
            <a:cxn ang="0">
              <a:pos x="connisteX17" y="connsiteY17"/>
            </a:cxn>
            <a:cxn ang="0">
              <a:pos x="connisteX18" y="connsiteY18"/>
            </a:cxn>
            <a:cxn ang="0">
              <a:pos x="connisteX19" y="connsiteY19"/>
            </a:cxn>
            <a:cxn ang="0">
              <a:pos x="connisteX20" y="connsiteY20"/>
            </a:cxn>
            <a:cxn ang="0">
              <a:pos x="connisteX21" y="connsiteY21"/>
            </a:cxn>
            <a:cxn ang="0">
              <a:pos x="connisteX22" y="connsiteY22"/>
            </a:cxn>
            <a:cxn ang="0">
              <a:pos x="connisteX23" y="connsiteY23"/>
            </a:cxn>
            <a:cxn ang="0">
              <a:pos x="connisteX24" y="connsiteY24"/>
            </a:cxn>
            <a:cxn ang="0">
              <a:pos x="connisteX25" y="connsiteY25"/>
            </a:cxn>
            <a:cxn ang="0">
              <a:pos x="connisteX26" y="connsiteY26"/>
            </a:cxn>
            <a:cxn ang="0">
              <a:pos x="connisteX27" y="connsiteY27"/>
            </a:cxn>
            <a:cxn ang="0">
              <a:pos x="connisteX28" y="connsiteY28"/>
            </a:cxn>
          </a:cxnLst>
          <a:rect l="l" t="t" r="r" b="b"/>
          <a:pathLst>
            <a:path w="617421" h="1132960">
              <a:moveTo>
                <a:pt x="79224" y="594"/>
              </a:moveTo>
              <a:cubicBezTo>
                <a:pt x="109704" y="-1946"/>
                <a:pt x="134469" y="4404"/>
                <a:pt x="157964" y="5674"/>
              </a:cubicBezTo>
              <a:cubicBezTo>
                <a:pt x="181459" y="6944"/>
                <a:pt x="183999" y="1864"/>
                <a:pt x="197969" y="5674"/>
              </a:cubicBezTo>
              <a:cubicBezTo>
                <a:pt x="211939" y="9484"/>
                <a:pt x="220194" y="-4486"/>
                <a:pt x="226544" y="24724"/>
              </a:cubicBezTo>
              <a:cubicBezTo>
                <a:pt x="232894" y="53934"/>
                <a:pt x="228449" y="101559"/>
                <a:pt x="229084" y="151089"/>
              </a:cubicBezTo>
              <a:cubicBezTo>
                <a:pt x="229719" y="200619"/>
                <a:pt x="228449" y="219669"/>
                <a:pt x="229084" y="272374"/>
              </a:cubicBezTo>
              <a:cubicBezTo>
                <a:pt x="229719" y="325079"/>
                <a:pt x="230354" y="360639"/>
                <a:pt x="231624" y="415249"/>
              </a:cubicBezTo>
              <a:cubicBezTo>
                <a:pt x="232894" y="469859"/>
                <a:pt x="227179" y="504784"/>
                <a:pt x="236069" y="546059"/>
              </a:cubicBezTo>
              <a:cubicBezTo>
                <a:pt x="244959" y="587334"/>
                <a:pt x="244959" y="596859"/>
                <a:pt x="276709" y="622259"/>
              </a:cubicBezTo>
              <a:cubicBezTo>
                <a:pt x="308459" y="647659"/>
                <a:pt x="348464" y="656549"/>
                <a:pt x="393549" y="672424"/>
              </a:cubicBezTo>
              <a:cubicBezTo>
                <a:pt x="438634" y="688299"/>
                <a:pt x="460859" y="692744"/>
                <a:pt x="502769" y="700999"/>
              </a:cubicBezTo>
              <a:cubicBezTo>
                <a:pt x="544679" y="709254"/>
                <a:pt x="580874" y="704174"/>
                <a:pt x="603099" y="713064"/>
              </a:cubicBezTo>
              <a:cubicBezTo>
                <a:pt x="625324" y="721954"/>
                <a:pt x="612624" y="714969"/>
                <a:pt x="615164" y="746084"/>
              </a:cubicBezTo>
              <a:cubicBezTo>
                <a:pt x="617704" y="777199"/>
                <a:pt x="617704" y="817204"/>
                <a:pt x="617069" y="869909"/>
              </a:cubicBezTo>
              <a:cubicBezTo>
                <a:pt x="616434" y="922614"/>
                <a:pt x="613259" y="966429"/>
                <a:pt x="612624" y="1008339"/>
              </a:cubicBezTo>
              <a:cubicBezTo>
                <a:pt x="611989" y="1050249"/>
                <a:pt x="614529" y="1055964"/>
                <a:pt x="612624" y="1079459"/>
              </a:cubicBezTo>
              <a:cubicBezTo>
                <a:pt x="610719" y="1102954"/>
                <a:pt x="609449" y="1115654"/>
                <a:pt x="603099" y="1124544"/>
              </a:cubicBezTo>
              <a:cubicBezTo>
                <a:pt x="596749" y="1133434"/>
                <a:pt x="592304" y="1137879"/>
                <a:pt x="581509" y="1124544"/>
              </a:cubicBezTo>
              <a:cubicBezTo>
                <a:pt x="570714" y="1111209"/>
                <a:pt x="566904" y="1089619"/>
                <a:pt x="550394" y="1057869"/>
              </a:cubicBezTo>
              <a:cubicBezTo>
                <a:pt x="533884" y="1026119"/>
                <a:pt x="539599" y="994369"/>
                <a:pt x="498324" y="965159"/>
              </a:cubicBezTo>
              <a:cubicBezTo>
                <a:pt x="457049" y="935949"/>
                <a:pt x="409424" y="937854"/>
                <a:pt x="343384" y="910549"/>
              </a:cubicBezTo>
              <a:cubicBezTo>
                <a:pt x="277344" y="883244"/>
                <a:pt x="222734" y="866734"/>
                <a:pt x="167489" y="829269"/>
              </a:cubicBezTo>
              <a:cubicBezTo>
                <a:pt x="112244" y="791804"/>
                <a:pt x="96369" y="767674"/>
                <a:pt x="67159" y="722589"/>
              </a:cubicBezTo>
              <a:cubicBezTo>
                <a:pt x="37949" y="677504"/>
                <a:pt x="33504" y="655914"/>
                <a:pt x="22074" y="603209"/>
              </a:cubicBezTo>
              <a:cubicBezTo>
                <a:pt x="10644" y="550504"/>
                <a:pt x="11279" y="539709"/>
                <a:pt x="10009" y="460334"/>
              </a:cubicBezTo>
              <a:cubicBezTo>
                <a:pt x="8739" y="380959"/>
                <a:pt x="15089" y="285709"/>
                <a:pt x="15089" y="205699"/>
              </a:cubicBezTo>
              <a:cubicBezTo>
                <a:pt x="15089" y="125689"/>
                <a:pt x="11914" y="97749"/>
                <a:pt x="10009" y="60284"/>
              </a:cubicBezTo>
              <a:cubicBezTo>
                <a:pt x="8104" y="22819"/>
                <a:pt x="-8406" y="29804"/>
                <a:pt x="5564" y="17739"/>
              </a:cubicBezTo>
              <a:cubicBezTo>
                <a:pt x="19534" y="5674"/>
                <a:pt x="48744" y="3134"/>
                <a:pt x="79224" y="594"/>
              </a:cubicBezTo>
              <a:close/>
            </a:path>
          </a:pathLst>
        </a:custGeom>
        <a:solidFill>
          <a:srgbClr xmlns:mc="http://schemas.openxmlformats.org/markup-compatibility/2006" xmlns:a14="http://schemas.microsoft.com/office/drawing/2010/main" val="FFFFFF" mc:Ignorable="a14" a14:legacySpreadsheetColorIndex="9"/>
        </a:solidFill>
        <a:ln w="9525" cap="flat" cmpd="sng">
          <a:solidFill>
            <a:schemeClr val="tx1"/>
          </a:solidFill>
          <a:prstDash val="solid"/>
          <a:headEnd type="none" w="med" len="med"/>
          <a:tailEnd type="none" w="med" len="med"/>
        </a:ln>
      </xdr:spPr>
      <xdr:txBody>
        <a:bodyPr/>
        <a:p>
          <a:endParaRPr lang="zh-CN" altLang="en-US"/>
        </a:p>
      </xdr:txBody>
    </xdr:sp>
    <xdr:clientData/>
  </xdr:twoCellAnchor>
  <xdr:twoCellAnchor>
    <xdr:from>
      <xdr:col>8</xdr:col>
      <xdr:colOff>382270</xdr:colOff>
      <xdr:row>23</xdr:row>
      <xdr:rowOff>49530</xdr:rowOff>
    </xdr:from>
    <xdr:to>
      <xdr:col>8</xdr:col>
      <xdr:colOff>639445</xdr:colOff>
      <xdr:row>29</xdr:row>
      <xdr:rowOff>109220</xdr:rowOff>
    </xdr:to>
    <xdr:sp>
      <xdr:nvSpPr>
        <xdr:cNvPr id="15" name="矩形 14"/>
        <xdr:cNvSpPr/>
      </xdr:nvSpPr>
      <xdr:spPr>
        <a:xfrm>
          <a:off x="8421370" y="4928870"/>
          <a:ext cx="257175" cy="1145540"/>
        </a:xfrm>
        <a:prstGeom prst="rect">
          <a:avLst/>
        </a:prstGeom>
        <a:solidFill>
          <a:schemeClr val="accent5">
            <a:lumMod val="60000"/>
            <a:lumOff val="40000"/>
          </a:schemeClr>
        </a:solidFill>
        <a:ln w="9525" cap="flat" cmpd="sng">
          <a:noFill/>
          <a:prstDash val="solid"/>
          <a:headEnd type="none" w="med" len="med"/>
          <a:tailEnd type="none" w="med" len="med"/>
        </a:ln>
      </xdr:spPr>
      <xdr:txBody>
        <a:bodyPr/>
        <a:p>
          <a:endParaRPr lang="zh-CN" altLang="en-US"/>
        </a:p>
      </xdr:txBody>
    </xdr:sp>
    <xdr:clientData/>
  </xdr:twoCellAnchor>
  <xdr:twoCellAnchor>
    <xdr:from>
      <xdr:col>8</xdr:col>
      <xdr:colOff>271780</xdr:colOff>
      <xdr:row>23</xdr:row>
      <xdr:rowOff>106045</xdr:rowOff>
    </xdr:from>
    <xdr:to>
      <xdr:col>9</xdr:col>
      <xdr:colOff>57150</xdr:colOff>
      <xdr:row>29</xdr:row>
      <xdr:rowOff>71755</xdr:rowOff>
    </xdr:to>
    <xdr:sp>
      <xdr:nvSpPr>
        <xdr:cNvPr id="16" name="矩形 15"/>
        <xdr:cNvSpPr/>
      </xdr:nvSpPr>
      <xdr:spPr>
        <a:xfrm>
          <a:off x="8310880" y="4985385"/>
          <a:ext cx="899795" cy="1051560"/>
        </a:xfrm>
        <a:prstGeom prst="rect">
          <a:avLst/>
        </a:prstGeom>
        <a:solidFill>
          <a:schemeClr val="accent5">
            <a:lumMod val="60000"/>
            <a:lumOff val="40000"/>
          </a:schemeClr>
        </a:solidFill>
        <a:ln w="9525" cap="flat" cmpd="sng">
          <a:noFill/>
          <a:prstDash val="solid"/>
          <a:headEnd type="none" w="med" len="med"/>
          <a:tailEnd type="none" w="med" len="med"/>
        </a:ln>
      </xdr:spPr>
      <xdr:txBody>
        <a:bodyPr/>
        <a:p>
          <a:endParaRPr lang="zh-CN" altLang="en-US"/>
        </a:p>
      </xdr:txBody>
    </xdr:sp>
    <xdr:clientData/>
  </xdr:twoCellAnchor>
  <xdr:twoCellAnchor>
    <xdr:from>
      <xdr:col>8</xdr:col>
      <xdr:colOff>274320</xdr:colOff>
      <xdr:row>23</xdr:row>
      <xdr:rowOff>178435</xdr:rowOff>
    </xdr:from>
    <xdr:to>
      <xdr:col>11</xdr:col>
      <xdr:colOff>603250</xdr:colOff>
      <xdr:row>28</xdr:row>
      <xdr:rowOff>193040</xdr:rowOff>
    </xdr:to>
    <xdr:sp>
      <xdr:nvSpPr>
        <xdr:cNvPr id="17" name="矩形 16"/>
        <xdr:cNvSpPr/>
      </xdr:nvSpPr>
      <xdr:spPr>
        <a:xfrm>
          <a:off x="8313420" y="5057775"/>
          <a:ext cx="3272155" cy="907415"/>
        </a:xfrm>
        <a:prstGeom prst="rect">
          <a:avLst/>
        </a:prstGeom>
        <a:solidFill>
          <a:schemeClr val="accent5">
            <a:lumMod val="60000"/>
            <a:lumOff val="40000"/>
          </a:schemeClr>
        </a:solidFill>
        <a:ln w="9525" cap="flat" cmpd="sng">
          <a:solidFill>
            <a:schemeClr val="tx1"/>
          </a:solidFill>
          <a:prstDash val="solid"/>
          <a:headEnd type="none" w="med" len="med"/>
          <a:tailEnd type="none" w="med" len="med"/>
        </a:ln>
      </xdr:spPr>
      <xdr:txBody>
        <a:bodyPr/>
        <a:p>
          <a:endParaRPr lang="zh-CN" altLang="en-US"/>
        </a:p>
      </xdr:txBody>
    </xdr:sp>
    <xdr:clientData/>
  </xdr:twoCellAnchor>
  <xdr:twoCellAnchor>
    <xdr:from>
      <xdr:col>7</xdr:col>
      <xdr:colOff>520700</xdr:colOff>
      <xdr:row>25</xdr:row>
      <xdr:rowOff>23495</xdr:rowOff>
    </xdr:from>
    <xdr:to>
      <xdr:col>11</xdr:col>
      <xdr:colOff>601345</xdr:colOff>
      <xdr:row>27</xdr:row>
      <xdr:rowOff>156210</xdr:rowOff>
    </xdr:to>
    <xdr:sp>
      <xdr:nvSpPr>
        <xdr:cNvPr id="18" name="矩形 17"/>
        <xdr:cNvSpPr/>
      </xdr:nvSpPr>
      <xdr:spPr>
        <a:xfrm>
          <a:off x="7045325" y="5264785"/>
          <a:ext cx="4538345" cy="494665"/>
        </a:xfrm>
        <a:prstGeom prst="rect">
          <a:avLst/>
        </a:prstGeom>
        <a:solidFill>
          <a:srgbClr xmlns:mc="http://schemas.openxmlformats.org/markup-compatibility/2006" xmlns:a14="http://schemas.microsoft.com/office/drawing/2010/main" val="FFFFFF" mc:Ignorable="a14" a14:legacySpreadsheetColorIndex="9"/>
        </a:solidFill>
        <a:ln w="9525" cap="flat" cmpd="sng">
          <a:solidFill>
            <a:schemeClr val="tx1"/>
          </a:solidFill>
          <a:prstDash val="solid"/>
          <a:headEnd type="none" w="med" len="med"/>
          <a:tailEnd type="none" w="med" len="med"/>
        </a:ln>
      </xdr:spPr>
      <xdr:txBody>
        <a:bodyPr/>
        <a:p>
          <a:endParaRPr lang="zh-CN" altLang="en-US"/>
        </a:p>
      </xdr:txBody>
    </xdr:sp>
    <xdr:clientData/>
  </xdr:twoCellAnchor>
  <xdr:twoCellAnchor>
    <xdr:from>
      <xdr:col>10</xdr:col>
      <xdr:colOff>530225</xdr:colOff>
      <xdr:row>23</xdr:row>
      <xdr:rowOff>182245</xdr:rowOff>
    </xdr:from>
    <xdr:to>
      <xdr:col>11</xdr:col>
      <xdr:colOff>372745</xdr:colOff>
      <xdr:row>25</xdr:row>
      <xdr:rowOff>14605</xdr:rowOff>
    </xdr:to>
    <xdr:sp>
      <xdr:nvSpPr>
        <xdr:cNvPr id="19" name="矩形 18"/>
        <xdr:cNvSpPr/>
      </xdr:nvSpPr>
      <xdr:spPr>
        <a:xfrm>
          <a:off x="10826750" y="5060315"/>
          <a:ext cx="528320" cy="195580"/>
        </a:xfrm>
        <a:prstGeom prst="rect">
          <a:avLst/>
        </a:prstGeom>
        <a:solidFill>
          <a:srgbClr xmlns:mc="http://schemas.openxmlformats.org/markup-compatibility/2006" xmlns:a14="http://schemas.microsoft.com/office/drawing/2010/main" val="FFFFFF" mc:Ignorable="a14" a14:legacySpreadsheetColorIndex="9"/>
        </a:solidFill>
        <a:ln w="9525" cap="flat" cmpd="sng">
          <a:noFill/>
          <a:prstDash val="solid"/>
          <a:headEnd type="none" w="med" len="med"/>
          <a:tailEnd type="none" w="med" len="med"/>
        </a:ln>
      </xdr:spPr>
      <xdr:txBody>
        <a:bodyPr/>
        <a:p>
          <a:endParaRPr lang="zh-CN" altLang="en-US"/>
        </a:p>
      </xdr:txBody>
    </xdr:sp>
    <xdr:clientData/>
  </xdr:twoCellAnchor>
  <xdr:twoCellAnchor>
    <xdr:from>
      <xdr:col>11</xdr:col>
      <xdr:colOff>372745</xdr:colOff>
      <xdr:row>25</xdr:row>
      <xdr:rowOff>5080</xdr:rowOff>
    </xdr:from>
    <xdr:to>
      <xdr:col>11</xdr:col>
      <xdr:colOff>379095</xdr:colOff>
      <xdr:row>33</xdr:row>
      <xdr:rowOff>93345</xdr:rowOff>
    </xdr:to>
    <xdr:cxnSp>
      <xdr:nvCxnSpPr>
        <xdr:cNvPr id="21" name="直接连接符 20"/>
        <xdr:cNvCxnSpPr/>
      </xdr:nvCxnSpPr>
      <xdr:spPr>
        <a:xfrm>
          <a:off x="11355070" y="5246370"/>
          <a:ext cx="6350" cy="1536065"/>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522605</xdr:colOff>
      <xdr:row>27</xdr:row>
      <xdr:rowOff>93345</xdr:rowOff>
    </xdr:from>
    <xdr:to>
      <xdr:col>7</xdr:col>
      <xdr:colOff>532130</xdr:colOff>
      <xdr:row>33</xdr:row>
      <xdr:rowOff>113665</xdr:rowOff>
    </xdr:to>
    <xdr:cxnSp>
      <xdr:nvCxnSpPr>
        <xdr:cNvPr id="22" name="直接连接符 21"/>
        <xdr:cNvCxnSpPr/>
      </xdr:nvCxnSpPr>
      <xdr:spPr>
        <a:xfrm>
          <a:off x="7047230" y="5696585"/>
          <a:ext cx="9525" cy="1106170"/>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8</xdr:col>
      <xdr:colOff>279400</xdr:colOff>
      <xdr:row>27</xdr:row>
      <xdr:rowOff>86995</xdr:rowOff>
    </xdr:from>
    <xdr:to>
      <xdr:col>8</xdr:col>
      <xdr:colOff>280670</xdr:colOff>
      <xdr:row>31</xdr:row>
      <xdr:rowOff>184785</xdr:rowOff>
    </xdr:to>
    <xdr:cxnSp>
      <xdr:nvCxnSpPr>
        <xdr:cNvPr id="23" name="直接连接符 22"/>
        <xdr:cNvCxnSpPr/>
      </xdr:nvCxnSpPr>
      <xdr:spPr>
        <a:xfrm>
          <a:off x="8318500" y="5690235"/>
          <a:ext cx="1270" cy="817880"/>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8</xdr:col>
      <xdr:colOff>276860</xdr:colOff>
      <xdr:row>24</xdr:row>
      <xdr:rowOff>161290</xdr:rowOff>
    </xdr:from>
    <xdr:to>
      <xdr:col>8</xdr:col>
      <xdr:colOff>276860</xdr:colOff>
      <xdr:row>27</xdr:row>
      <xdr:rowOff>171450</xdr:rowOff>
    </xdr:to>
    <xdr:cxnSp>
      <xdr:nvCxnSpPr>
        <xdr:cNvPr id="24" name="直接连接符 23"/>
        <xdr:cNvCxnSpPr/>
      </xdr:nvCxnSpPr>
      <xdr:spPr>
        <a:xfrm>
          <a:off x="8315960" y="5221605"/>
          <a:ext cx="0" cy="553085"/>
        </a:xfrm>
        <a:prstGeom prst="line">
          <a:avLst/>
        </a:prstGeom>
        <a:ln>
          <a:solidFill>
            <a:schemeClr val="tx1"/>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8</xdr:col>
      <xdr:colOff>280670</xdr:colOff>
      <xdr:row>31</xdr:row>
      <xdr:rowOff>93345</xdr:rowOff>
    </xdr:from>
    <xdr:to>
      <xdr:col>11</xdr:col>
      <xdr:colOff>379095</xdr:colOff>
      <xdr:row>31</xdr:row>
      <xdr:rowOff>96520</xdr:rowOff>
    </xdr:to>
    <xdr:cxnSp>
      <xdr:nvCxnSpPr>
        <xdr:cNvPr id="25" name="直接箭头连接符 24"/>
        <xdr:cNvCxnSpPr/>
      </xdr:nvCxnSpPr>
      <xdr:spPr>
        <a:xfrm flipV="1">
          <a:off x="8319770" y="6420485"/>
          <a:ext cx="3041650" cy="3175"/>
        </a:xfrm>
        <a:prstGeom prst="straightConnector1">
          <a:avLst/>
        </a:prstGeom>
        <a:ln w="3175">
          <a:solidFill>
            <a:srgbClr val="2C10FA"/>
          </a:solidFill>
          <a:headEnd type="triangle" w="med" len="med"/>
          <a:tailEnd type="triangle" w="med" len="med"/>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519430</xdr:colOff>
      <xdr:row>31</xdr:row>
      <xdr:rowOff>92710</xdr:rowOff>
    </xdr:from>
    <xdr:to>
      <xdr:col>8</xdr:col>
      <xdr:colOff>290830</xdr:colOff>
      <xdr:row>31</xdr:row>
      <xdr:rowOff>96520</xdr:rowOff>
    </xdr:to>
    <xdr:cxnSp>
      <xdr:nvCxnSpPr>
        <xdr:cNvPr id="26" name="直接箭头连接符 25"/>
        <xdr:cNvCxnSpPr/>
      </xdr:nvCxnSpPr>
      <xdr:spPr>
        <a:xfrm>
          <a:off x="7044055" y="6419850"/>
          <a:ext cx="1285875" cy="3810"/>
        </a:xfrm>
        <a:prstGeom prst="straightConnector1">
          <a:avLst/>
        </a:prstGeom>
        <a:ln w="3175">
          <a:solidFill>
            <a:srgbClr val="2C10FA"/>
          </a:solidFill>
          <a:headEnd type="triangle" w="med" len="med"/>
          <a:tailEnd type="triangle" w="med" len="med"/>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528955</xdr:colOff>
      <xdr:row>32</xdr:row>
      <xdr:rowOff>188595</xdr:rowOff>
    </xdr:from>
    <xdr:to>
      <xdr:col>11</xdr:col>
      <xdr:colOff>391795</xdr:colOff>
      <xdr:row>32</xdr:row>
      <xdr:rowOff>191770</xdr:rowOff>
    </xdr:to>
    <xdr:cxnSp>
      <xdr:nvCxnSpPr>
        <xdr:cNvPr id="27" name="直接箭头连接符 26"/>
        <xdr:cNvCxnSpPr/>
      </xdr:nvCxnSpPr>
      <xdr:spPr>
        <a:xfrm flipV="1">
          <a:off x="7053580" y="6689090"/>
          <a:ext cx="4320540" cy="0"/>
        </a:xfrm>
        <a:prstGeom prst="straightConnector1">
          <a:avLst/>
        </a:prstGeom>
        <a:ln w="3175">
          <a:solidFill>
            <a:srgbClr val="2C10FA"/>
          </a:solidFill>
          <a:headEnd type="triangle" w="med" len="med"/>
          <a:tailEnd type="triangle" w="med" len="med"/>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269240</xdr:colOff>
      <xdr:row>20</xdr:row>
      <xdr:rowOff>99695</xdr:rowOff>
    </xdr:from>
    <xdr:to>
      <xdr:col>7</xdr:col>
      <xdr:colOff>941705</xdr:colOff>
      <xdr:row>21</xdr:row>
      <xdr:rowOff>172085</xdr:rowOff>
    </xdr:to>
    <xdr:sp>
      <xdr:nvSpPr>
        <xdr:cNvPr id="28" name="文本框 27"/>
        <xdr:cNvSpPr txBox="1"/>
      </xdr:nvSpPr>
      <xdr:spPr>
        <a:xfrm>
          <a:off x="6793865" y="4436110"/>
          <a:ext cx="672465" cy="253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1100"/>
            <a:t>横浇道</a:t>
          </a:r>
          <a:endParaRPr lang="zh-CN" altLang="en-US" sz="1100"/>
        </a:p>
      </xdr:txBody>
    </xdr:sp>
    <xdr:clientData/>
  </xdr:twoCellAnchor>
  <xdr:twoCellAnchor>
    <xdr:from>
      <xdr:col>7</xdr:col>
      <xdr:colOff>748665</xdr:colOff>
      <xdr:row>25</xdr:row>
      <xdr:rowOff>155575</xdr:rowOff>
    </xdr:from>
    <xdr:to>
      <xdr:col>7</xdr:col>
      <xdr:colOff>1421130</xdr:colOff>
      <xdr:row>27</xdr:row>
      <xdr:rowOff>27940</xdr:rowOff>
    </xdr:to>
    <xdr:sp>
      <xdr:nvSpPr>
        <xdr:cNvPr id="29" name="文本框 28"/>
        <xdr:cNvSpPr txBox="1"/>
      </xdr:nvSpPr>
      <xdr:spPr>
        <a:xfrm>
          <a:off x="7273290" y="5396865"/>
          <a:ext cx="672465" cy="2343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浇口套</a:t>
          </a:r>
          <a:endParaRPr lang="zh-CN" altLang="en-US" sz="1100"/>
        </a:p>
      </xdr:txBody>
    </xdr:sp>
    <xdr:clientData/>
  </xdr:twoCellAnchor>
  <xdr:twoCellAnchor>
    <xdr:from>
      <xdr:col>9</xdr:col>
      <xdr:colOff>250190</xdr:colOff>
      <xdr:row>25</xdr:row>
      <xdr:rowOff>145415</xdr:rowOff>
    </xdr:from>
    <xdr:to>
      <xdr:col>9</xdr:col>
      <xdr:colOff>922655</xdr:colOff>
      <xdr:row>27</xdr:row>
      <xdr:rowOff>17780</xdr:rowOff>
    </xdr:to>
    <xdr:sp>
      <xdr:nvSpPr>
        <xdr:cNvPr id="30" name="文本框 29"/>
        <xdr:cNvSpPr txBox="1"/>
      </xdr:nvSpPr>
      <xdr:spPr>
        <a:xfrm>
          <a:off x="9403715" y="5386705"/>
          <a:ext cx="672465" cy="2343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压射室</a:t>
          </a:r>
          <a:endParaRPr lang="zh-CN" altLang="en-US" sz="1100"/>
        </a:p>
      </xdr:txBody>
    </xdr:sp>
    <xdr:clientData/>
  </xdr:twoCellAnchor>
  <xdr:twoCellAnchor>
    <xdr:from>
      <xdr:col>10</xdr:col>
      <xdr:colOff>102235</xdr:colOff>
      <xdr:row>21</xdr:row>
      <xdr:rowOff>107950</xdr:rowOff>
    </xdr:from>
    <xdr:to>
      <xdr:col>11</xdr:col>
      <xdr:colOff>88900</xdr:colOff>
      <xdr:row>22</xdr:row>
      <xdr:rowOff>180340</xdr:rowOff>
    </xdr:to>
    <xdr:sp>
      <xdr:nvSpPr>
        <xdr:cNvPr id="31" name="文本框 30"/>
        <xdr:cNvSpPr txBox="1"/>
      </xdr:nvSpPr>
      <xdr:spPr>
        <a:xfrm>
          <a:off x="10398760" y="4625340"/>
          <a:ext cx="672465" cy="253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外浇口</a:t>
          </a:r>
          <a:endParaRPr lang="en-US" altLang="zh-CN" sz="1100"/>
        </a:p>
      </xdr:txBody>
    </xdr:sp>
    <xdr:clientData/>
  </xdr:twoCellAnchor>
  <xdr:twoCellAnchor>
    <xdr:from>
      <xdr:col>6</xdr:col>
      <xdr:colOff>1026160</xdr:colOff>
      <xdr:row>26</xdr:row>
      <xdr:rowOff>32385</xdr:rowOff>
    </xdr:from>
    <xdr:to>
      <xdr:col>7</xdr:col>
      <xdr:colOff>136525</xdr:colOff>
      <xdr:row>27</xdr:row>
      <xdr:rowOff>74930</xdr:rowOff>
    </xdr:to>
    <xdr:sp>
      <xdr:nvSpPr>
        <xdr:cNvPr id="32" name="文本框 31"/>
        <xdr:cNvSpPr txBox="1"/>
      </xdr:nvSpPr>
      <xdr:spPr>
        <a:xfrm>
          <a:off x="6036310" y="5454650"/>
          <a:ext cx="624840" cy="2235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分流锥</a:t>
          </a:r>
          <a:endParaRPr lang="zh-CN" altLang="en-US" sz="1100"/>
        </a:p>
      </xdr:txBody>
    </xdr:sp>
    <xdr:clientData/>
  </xdr:twoCellAnchor>
  <xdr:twoCellAnchor>
    <xdr:from>
      <xdr:col>11</xdr:col>
      <xdr:colOff>383540</xdr:colOff>
      <xdr:row>25</xdr:row>
      <xdr:rowOff>27940</xdr:rowOff>
    </xdr:from>
    <xdr:to>
      <xdr:col>12</xdr:col>
      <xdr:colOff>667385</xdr:colOff>
      <xdr:row>27</xdr:row>
      <xdr:rowOff>149225</xdr:rowOff>
    </xdr:to>
    <xdr:sp>
      <xdr:nvSpPr>
        <xdr:cNvPr id="33" name="矩形 32"/>
        <xdr:cNvSpPr/>
      </xdr:nvSpPr>
      <xdr:spPr>
        <a:xfrm>
          <a:off x="11365865" y="5269230"/>
          <a:ext cx="969645" cy="483235"/>
        </a:xfrm>
        <a:prstGeom prst="rect">
          <a:avLst/>
        </a:prstGeom>
        <a:solidFill>
          <a:schemeClr val="bg1">
            <a:lumMod val="50000"/>
          </a:schemeClr>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a:p>
          <a:endParaRPr lang="zh-CN" altLang="en-US"/>
        </a:p>
      </xdr:txBody>
    </xdr:sp>
    <xdr:clientData/>
  </xdr:twoCellAnchor>
  <xdr:twoCellAnchor>
    <xdr:from>
      <xdr:col>11</xdr:col>
      <xdr:colOff>451485</xdr:colOff>
      <xdr:row>25</xdr:row>
      <xdr:rowOff>169545</xdr:rowOff>
    </xdr:from>
    <xdr:to>
      <xdr:col>12</xdr:col>
      <xdr:colOff>544830</xdr:colOff>
      <xdr:row>27</xdr:row>
      <xdr:rowOff>9525</xdr:rowOff>
    </xdr:to>
    <xdr:sp>
      <xdr:nvSpPr>
        <xdr:cNvPr id="34" name="文本框 33"/>
        <xdr:cNvSpPr txBox="1"/>
      </xdr:nvSpPr>
      <xdr:spPr>
        <a:xfrm>
          <a:off x="11433810" y="5410835"/>
          <a:ext cx="779145" cy="2019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压射冲头</a:t>
          </a:r>
          <a:endParaRPr lang="zh-CN" altLang="en-US" sz="1100"/>
        </a:p>
      </xdr:txBody>
    </xdr:sp>
    <xdr:clientData/>
  </xdr:twoCellAnchor>
  <xdr:twoCellAnchor>
    <xdr:from>
      <xdr:col>7</xdr:col>
      <xdr:colOff>534670</xdr:colOff>
      <xdr:row>21</xdr:row>
      <xdr:rowOff>107950</xdr:rowOff>
    </xdr:from>
    <xdr:to>
      <xdr:col>7</xdr:col>
      <xdr:colOff>1207135</xdr:colOff>
      <xdr:row>22</xdr:row>
      <xdr:rowOff>180340</xdr:rowOff>
    </xdr:to>
    <xdr:sp>
      <xdr:nvSpPr>
        <xdr:cNvPr id="35" name="文本框 34"/>
        <xdr:cNvSpPr txBox="1"/>
      </xdr:nvSpPr>
      <xdr:spPr>
        <a:xfrm>
          <a:off x="7059295" y="4625340"/>
          <a:ext cx="672465" cy="2533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直浇道</a:t>
          </a:r>
          <a:endParaRPr lang="zh-CN" altLang="en-US" sz="1100"/>
        </a:p>
      </xdr:txBody>
    </xdr:sp>
    <xdr:clientData/>
  </xdr:twoCellAnchor>
  <xdr:twoCellAnchor>
    <xdr:from>
      <xdr:col>10</xdr:col>
      <xdr:colOff>595630</xdr:colOff>
      <xdr:row>21</xdr:row>
      <xdr:rowOff>140970</xdr:rowOff>
    </xdr:from>
    <xdr:to>
      <xdr:col>11</xdr:col>
      <xdr:colOff>564515</xdr:colOff>
      <xdr:row>27</xdr:row>
      <xdr:rowOff>87630</xdr:rowOff>
    </xdr:to>
    <xdr:grpSp>
      <xdr:nvGrpSpPr>
        <xdr:cNvPr id="51" name="组合 50"/>
        <xdr:cNvGrpSpPr/>
      </xdr:nvGrpSpPr>
      <xdr:grpSpPr>
        <a:xfrm>
          <a:off x="10892155" y="4658360"/>
          <a:ext cx="654685" cy="1032510"/>
          <a:chOff x="17326" y="7849"/>
          <a:chExt cx="1030" cy="1806"/>
        </a:xfrm>
      </xdr:grpSpPr>
      <xdr:sp>
        <xdr:nvSpPr>
          <xdr:cNvPr id="38" name="任意多边形 37"/>
          <xdr:cNvSpPr/>
        </xdr:nvSpPr>
        <xdr:spPr>
          <a:xfrm>
            <a:off x="17326" y="7870"/>
            <a:ext cx="932" cy="1725"/>
          </a:xfrm>
          <a:custGeom>
            <a:avLst/>
            <a:gdLst>
              <a:gd name="connisteX0" fmla="*/ 534101 w 534101"/>
              <a:gd name="connsiteY0" fmla="*/ 0 h 1075055"/>
              <a:gd name="connisteX1" fmla="*/ 204536 w 534101"/>
              <a:gd name="connsiteY1" fmla="*/ 197485 h 1075055"/>
              <a:gd name="connisteX2" fmla="*/ 109286 w 534101"/>
              <a:gd name="connsiteY2" fmla="*/ 516890 h 1075055"/>
              <a:gd name="connisteX3" fmla="*/ 37531 w 534101"/>
              <a:gd name="connsiteY3" fmla="*/ 897890 h 1075055"/>
              <a:gd name="connisteX4" fmla="*/ 66 w 534101"/>
              <a:gd name="connsiteY4" fmla="*/ 1075055 h 1075055"/>
              <a:gd name="connisteX5" fmla="*/ 44516 w 534101"/>
              <a:gd name="connsiteY5" fmla="*/ 1095375 h 1075055"/>
            </a:gdLst>
            <a:ahLst/>
            <a:cxnLst>
              <a:cxn ang="0">
                <a:pos x="connisteX0" y="connsiteY0"/>
              </a:cxn>
              <a:cxn ang="0">
                <a:pos x="connisteX1" y="connsiteY1"/>
              </a:cxn>
              <a:cxn ang="0">
                <a:pos x="connisteX2" y="connsiteY2"/>
              </a:cxn>
              <a:cxn ang="0">
                <a:pos x="connisteX3" y="connsiteY3"/>
              </a:cxn>
              <a:cxn ang="0">
                <a:pos x="connisteX4" y="connsiteY4"/>
              </a:cxn>
              <a:cxn ang="0">
                <a:pos x="connisteX5" y="connsiteY5"/>
              </a:cxn>
            </a:cxnLst>
            <a:rect l="l" t="t" r="r" b="b"/>
            <a:pathLst>
              <a:path w="534101" h="1075055">
                <a:moveTo>
                  <a:pt x="534101" y="0"/>
                </a:moveTo>
                <a:cubicBezTo>
                  <a:pt x="469966" y="33020"/>
                  <a:pt x="289626" y="93980"/>
                  <a:pt x="204536" y="197485"/>
                </a:cubicBezTo>
                <a:cubicBezTo>
                  <a:pt x="119446" y="300990"/>
                  <a:pt x="142941" y="376555"/>
                  <a:pt x="109286" y="516890"/>
                </a:cubicBezTo>
                <a:cubicBezTo>
                  <a:pt x="75631" y="657225"/>
                  <a:pt x="59121" y="786130"/>
                  <a:pt x="37531" y="897890"/>
                </a:cubicBezTo>
                <a:cubicBezTo>
                  <a:pt x="15941" y="1009650"/>
                  <a:pt x="-1204" y="1035685"/>
                  <a:pt x="66" y="1075055"/>
                </a:cubicBezTo>
              </a:path>
            </a:pathLst>
          </a:custGeom>
          <a:ln>
            <a:solidFill>
              <a:srgbClr val="FF0000"/>
            </a:solidFill>
            <a:tailEnd type="arrow"/>
          </a:ln>
        </xdr:spPr>
        <xdr:style>
          <a:lnRef idx="2">
            <a:schemeClr val="accent1"/>
          </a:lnRef>
          <a:fillRef idx="0">
            <a:srgbClr val="FFFFFF"/>
          </a:fillRef>
          <a:effectRef idx="0">
            <a:srgbClr val="FFFFFF"/>
          </a:effectRef>
          <a:fontRef idx="minor">
            <a:schemeClr val="tx1"/>
          </a:fontRef>
        </xdr:style>
        <xdr:txBody>
          <a:bodyPr/>
          <a:p>
            <a:endParaRPr lang="zh-CN" altLang="en-US"/>
          </a:p>
        </xdr:txBody>
      </xdr:sp>
      <xdr:sp>
        <xdr:nvSpPr>
          <xdr:cNvPr id="39" name="任意多边形 38"/>
          <xdr:cNvSpPr/>
        </xdr:nvSpPr>
        <xdr:spPr>
          <a:xfrm>
            <a:off x="17709" y="7929"/>
            <a:ext cx="513" cy="1575"/>
          </a:xfrm>
          <a:custGeom>
            <a:avLst/>
            <a:gdLst>
              <a:gd name="connisteX0" fmla="*/ 326005 w 326005"/>
              <a:gd name="connsiteY0" fmla="*/ 0 h 1003935"/>
              <a:gd name="connisteX1" fmla="*/ 162810 w 326005"/>
              <a:gd name="connsiteY1" fmla="*/ 102235 h 1003935"/>
              <a:gd name="connisteX2" fmla="*/ 50415 w 326005"/>
              <a:gd name="connsiteY2" fmla="*/ 279400 h 1003935"/>
              <a:gd name="connisteX3" fmla="*/ 19935 w 326005"/>
              <a:gd name="connsiteY3" fmla="*/ 595630 h 1003935"/>
              <a:gd name="connisteX4" fmla="*/ 2790 w 326005"/>
              <a:gd name="connsiteY4" fmla="*/ 1003935 h 1003935"/>
              <a:gd name="connisteX5" fmla="*/ 67560 w 326005"/>
              <a:gd name="connsiteY5" fmla="*/ 1000125 h 1003935"/>
            </a:gdLst>
            <a:ahLst/>
            <a:cxnLst>
              <a:cxn ang="0">
                <a:pos x="connisteX0" y="connsiteY0"/>
              </a:cxn>
              <a:cxn ang="0">
                <a:pos x="connisteX1" y="connsiteY1"/>
              </a:cxn>
              <a:cxn ang="0">
                <a:pos x="connisteX2" y="connsiteY2"/>
              </a:cxn>
              <a:cxn ang="0">
                <a:pos x="connisteX3" y="connsiteY3"/>
              </a:cxn>
              <a:cxn ang="0">
                <a:pos x="connisteX4" y="connsiteY4"/>
              </a:cxn>
              <a:cxn ang="0">
                <a:pos x="connisteX5" y="connsiteY5"/>
              </a:cxn>
            </a:cxnLst>
            <a:rect l="l" t="t" r="r" b="b"/>
            <a:pathLst>
              <a:path w="326006" h="1003935">
                <a:moveTo>
                  <a:pt x="326006" y="0"/>
                </a:moveTo>
                <a:cubicBezTo>
                  <a:pt x="295526" y="17145"/>
                  <a:pt x="218056" y="46355"/>
                  <a:pt x="162811" y="102235"/>
                </a:cubicBezTo>
                <a:cubicBezTo>
                  <a:pt x="107566" y="158115"/>
                  <a:pt x="78991" y="180975"/>
                  <a:pt x="50416" y="279400"/>
                </a:cubicBezTo>
                <a:cubicBezTo>
                  <a:pt x="21841" y="377825"/>
                  <a:pt x="29461" y="450850"/>
                  <a:pt x="19936" y="595630"/>
                </a:cubicBezTo>
                <a:cubicBezTo>
                  <a:pt x="10411" y="740410"/>
                  <a:pt x="-6734" y="923290"/>
                  <a:pt x="2791" y="1003935"/>
                </a:cubicBezTo>
              </a:path>
            </a:pathLst>
          </a:custGeom>
          <a:ln>
            <a:solidFill>
              <a:srgbClr val="FF0000"/>
            </a:solidFill>
            <a:tailEnd type="arrow"/>
          </a:ln>
        </xdr:spPr>
        <xdr:style>
          <a:lnRef idx="2">
            <a:schemeClr val="accent1"/>
          </a:lnRef>
          <a:fillRef idx="0">
            <a:srgbClr val="FFFFFF"/>
          </a:fillRef>
          <a:effectRef idx="0">
            <a:srgbClr val="FFFFFF"/>
          </a:effectRef>
          <a:fontRef idx="minor">
            <a:schemeClr val="tx1"/>
          </a:fontRef>
        </xdr:style>
        <xdr:txBody>
          <a:bodyPr vertOverflow="overflow" horzOverflow="overflow" vert="horz" wrap="square" numCol="1" spcCol="0" rtlCol="0" fromWordArt="0" anchor="ctr" anchorCtr="0" forceAA="0" compatLnSpc="1">
            <a:noAutofit/>
          </a:bodyPr>
          <a:p>
            <a:pPr algn="l">
              <a:buClrTx/>
              <a:buSzTx/>
              <a:buFontTx/>
            </a:pPr>
            <a:endParaRPr lang="zh-CN" altLang="en-US" sz="1100"/>
          </a:p>
        </xdr:txBody>
      </xdr:sp>
      <xdr:sp>
        <xdr:nvSpPr>
          <xdr:cNvPr id="43" name="任意多边形 42"/>
          <xdr:cNvSpPr/>
        </xdr:nvSpPr>
        <xdr:spPr>
          <a:xfrm>
            <a:off x="17494" y="7849"/>
            <a:ext cx="862" cy="1806"/>
          </a:xfrm>
          <a:custGeom>
            <a:avLst/>
            <a:gdLst>
              <a:gd name="connisteX0" fmla="*/ 547224 w 547224"/>
              <a:gd name="connsiteY0" fmla="*/ 0 h 1115695"/>
              <a:gd name="connisteX1" fmla="*/ 335769 w 547224"/>
              <a:gd name="connsiteY1" fmla="*/ 98425 h 1115695"/>
              <a:gd name="connisteX2" fmla="*/ 162414 w 547224"/>
              <a:gd name="connsiteY2" fmla="*/ 227965 h 1115695"/>
              <a:gd name="connisteX3" fmla="*/ 91294 w 547224"/>
              <a:gd name="connsiteY3" fmla="*/ 530860 h 1115695"/>
              <a:gd name="connisteX4" fmla="*/ 33509 w 547224"/>
              <a:gd name="connsiteY4" fmla="*/ 904875 h 1115695"/>
              <a:gd name="connisteX5" fmla="*/ 13189 w 547224"/>
              <a:gd name="connsiteY5" fmla="*/ 1115695 h 1115695"/>
              <a:gd name="connisteX6" fmla="*/ 199879 w 547224"/>
              <a:gd name="connsiteY6" fmla="*/ 962660 h 1115695"/>
            </a:gdLst>
            <a:ahLst/>
            <a:cxnLst>
              <a:cxn ang="0">
                <a:pos x="connisteX0" y="connsiteY0"/>
              </a:cxn>
              <a:cxn ang="0">
                <a:pos x="connisteX1" y="connsiteY1"/>
              </a:cxn>
              <a:cxn ang="0">
                <a:pos x="connisteX2" y="connsiteY2"/>
              </a:cxn>
              <a:cxn ang="0">
                <a:pos x="connisteX3" y="connsiteY3"/>
              </a:cxn>
              <a:cxn ang="0">
                <a:pos x="connisteX4" y="connsiteY4"/>
              </a:cxn>
              <a:cxn ang="0">
                <a:pos x="connisteX5" y="connsiteY5"/>
              </a:cxn>
              <a:cxn ang="0">
                <a:pos x="connisteX6" y="connsiteY6"/>
              </a:cxn>
            </a:cxnLst>
            <a:rect l="l" t="t" r="r" b="b"/>
            <a:pathLst>
              <a:path w="547225" h="1115695">
                <a:moveTo>
                  <a:pt x="547225" y="0"/>
                </a:moveTo>
                <a:cubicBezTo>
                  <a:pt x="508490" y="17145"/>
                  <a:pt x="412605" y="52705"/>
                  <a:pt x="335770" y="98425"/>
                </a:cubicBezTo>
                <a:cubicBezTo>
                  <a:pt x="258935" y="144145"/>
                  <a:pt x="211310" y="141605"/>
                  <a:pt x="162415" y="227965"/>
                </a:cubicBezTo>
                <a:cubicBezTo>
                  <a:pt x="113520" y="314325"/>
                  <a:pt x="117330" y="395605"/>
                  <a:pt x="91295" y="530860"/>
                </a:cubicBezTo>
                <a:cubicBezTo>
                  <a:pt x="65260" y="666115"/>
                  <a:pt x="49385" y="788035"/>
                  <a:pt x="33510" y="904875"/>
                </a:cubicBezTo>
                <a:cubicBezTo>
                  <a:pt x="17635" y="1021715"/>
                  <a:pt x="-19830" y="1104265"/>
                  <a:pt x="13190" y="1115695"/>
                </a:cubicBezTo>
              </a:path>
            </a:pathLst>
          </a:custGeom>
          <a:noFill/>
          <a:ln w="9525" cap="flat" cmpd="sng">
            <a:solidFill>
              <a:srgbClr val="FF0000"/>
            </a:solidFill>
            <a:prstDash val="solid"/>
            <a:headEnd type="none" w="med" len="med"/>
            <a:tailEnd type="none" w="med" len="med"/>
          </a:ln>
        </xdr:spPr>
        <xdr:txBody>
          <a:bodyPr/>
          <a:p>
            <a:endParaRPr lang="zh-CN" altLang="en-US"/>
          </a:p>
        </xdr:txBody>
      </xdr:sp>
    </xdr:grpSp>
    <xdr:clientData/>
  </xdr:twoCellAnchor>
  <xdr:twoCellAnchor>
    <xdr:from>
      <xdr:col>7</xdr:col>
      <xdr:colOff>241300</xdr:colOff>
      <xdr:row>22</xdr:row>
      <xdr:rowOff>91440</xdr:rowOff>
    </xdr:from>
    <xdr:to>
      <xdr:col>7</xdr:col>
      <xdr:colOff>676910</xdr:colOff>
      <xdr:row>25</xdr:row>
      <xdr:rowOff>60960</xdr:rowOff>
    </xdr:to>
    <xdr:cxnSp>
      <xdr:nvCxnSpPr>
        <xdr:cNvPr id="44" name="直接连接符 43"/>
        <xdr:cNvCxnSpPr/>
      </xdr:nvCxnSpPr>
      <xdr:spPr>
        <a:xfrm flipV="1">
          <a:off x="6765925" y="4789805"/>
          <a:ext cx="435610" cy="512445"/>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10</xdr:col>
      <xdr:colOff>422910</xdr:colOff>
      <xdr:row>22</xdr:row>
      <xdr:rowOff>116205</xdr:rowOff>
    </xdr:from>
    <xdr:to>
      <xdr:col>11</xdr:col>
      <xdr:colOff>9525</xdr:colOff>
      <xdr:row>24</xdr:row>
      <xdr:rowOff>88900</xdr:rowOff>
    </xdr:to>
    <xdr:cxnSp>
      <xdr:nvCxnSpPr>
        <xdr:cNvPr id="45" name="直接连接符 44"/>
        <xdr:cNvCxnSpPr/>
      </xdr:nvCxnSpPr>
      <xdr:spPr>
        <a:xfrm>
          <a:off x="10719435" y="4814570"/>
          <a:ext cx="272415" cy="334645"/>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95250</xdr:colOff>
      <xdr:row>21</xdr:row>
      <xdr:rowOff>128905</xdr:rowOff>
    </xdr:from>
    <xdr:to>
      <xdr:col>7</xdr:col>
      <xdr:colOff>414655</xdr:colOff>
      <xdr:row>22</xdr:row>
      <xdr:rowOff>196850</xdr:rowOff>
    </xdr:to>
    <xdr:cxnSp>
      <xdr:nvCxnSpPr>
        <xdr:cNvPr id="46" name="直接连接符 45"/>
        <xdr:cNvCxnSpPr/>
      </xdr:nvCxnSpPr>
      <xdr:spPr>
        <a:xfrm flipV="1">
          <a:off x="6619875" y="4646295"/>
          <a:ext cx="319405" cy="233045"/>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9</xdr:col>
      <xdr:colOff>124460</xdr:colOff>
      <xdr:row>30</xdr:row>
      <xdr:rowOff>44450</xdr:rowOff>
    </xdr:from>
    <xdr:to>
      <xdr:col>10</xdr:col>
      <xdr:colOff>4445</xdr:colOff>
      <xdr:row>31</xdr:row>
      <xdr:rowOff>116840</xdr:rowOff>
    </xdr:to>
    <xdr:sp>
      <xdr:nvSpPr>
        <xdr:cNvPr id="47" name="文本框 46"/>
        <xdr:cNvSpPr txBox="1"/>
      </xdr:nvSpPr>
      <xdr:spPr>
        <a:xfrm>
          <a:off x="9277985" y="6190615"/>
          <a:ext cx="1022985" cy="25336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压射室长度</a:t>
          </a:r>
          <a:endParaRPr lang="en-US" altLang="zh-CN" sz="1100"/>
        </a:p>
      </xdr:txBody>
    </xdr:sp>
    <xdr:clientData/>
  </xdr:twoCellAnchor>
  <xdr:twoCellAnchor>
    <xdr:from>
      <xdr:col>7</xdr:col>
      <xdr:colOff>680085</xdr:colOff>
      <xdr:row>30</xdr:row>
      <xdr:rowOff>44450</xdr:rowOff>
    </xdr:from>
    <xdr:to>
      <xdr:col>8</xdr:col>
      <xdr:colOff>188595</xdr:colOff>
      <xdr:row>31</xdr:row>
      <xdr:rowOff>116840</xdr:rowOff>
    </xdr:to>
    <xdr:sp>
      <xdr:nvSpPr>
        <xdr:cNvPr id="48" name="文本框 47"/>
        <xdr:cNvSpPr txBox="1"/>
      </xdr:nvSpPr>
      <xdr:spPr>
        <a:xfrm>
          <a:off x="7204710" y="6190615"/>
          <a:ext cx="1022985" cy="25336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浇口套长度</a:t>
          </a:r>
          <a:endParaRPr lang="en-US" altLang="zh-CN" sz="1100"/>
        </a:p>
      </xdr:txBody>
    </xdr:sp>
    <xdr:clientData/>
  </xdr:twoCellAnchor>
  <xdr:twoCellAnchor>
    <xdr:from>
      <xdr:col>7</xdr:col>
      <xdr:colOff>1129665</xdr:colOff>
      <xdr:row>31</xdr:row>
      <xdr:rowOff>140970</xdr:rowOff>
    </xdr:from>
    <xdr:to>
      <xdr:col>10</xdr:col>
      <xdr:colOff>276225</xdr:colOff>
      <xdr:row>32</xdr:row>
      <xdr:rowOff>195580</xdr:rowOff>
    </xdr:to>
    <xdr:sp>
      <xdr:nvSpPr>
        <xdr:cNvPr id="49" name="文本框 48"/>
        <xdr:cNvSpPr txBox="1"/>
      </xdr:nvSpPr>
      <xdr:spPr>
        <a:xfrm>
          <a:off x="7654290" y="6468110"/>
          <a:ext cx="2918460" cy="22098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100"/>
            <a:t>压射室有效长度</a:t>
          </a:r>
          <a:r>
            <a:rPr lang="zh-CN" altLang="en-US" sz="1100">
              <a:solidFill>
                <a:srgbClr val="2C10FA"/>
              </a:solidFill>
            </a:rPr>
            <a:t>（压铸工艺需选定的参数）</a:t>
          </a:r>
          <a:endParaRPr lang="zh-CN" altLang="en-US" sz="1100">
            <a:solidFill>
              <a:srgbClr val="2C10FA"/>
            </a:solidFill>
          </a:endParaRPr>
        </a:p>
      </xdr:txBody>
    </xdr:sp>
    <xdr:clientData/>
  </xdr:twoCellAnchor>
  <xdr:twoCellAnchor>
    <xdr:from>
      <xdr:col>11</xdr:col>
      <xdr:colOff>359410</xdr:colOff>
      <xdr:row>20</xdr:row>
      <xdr:rowOff>134620</xdr:rowOff>
    </xdr:from>
    <xdr:to>
      <xdr:col>12</xdr:col>
      <xdr:colOff>500380</xdr:colOff>
      <xdr:row>23</xdr:row>
      <xdr:rowOff>24130</xdr:rowOff>
    </xdr:to>
    <xdr:sp>
      <xdr:nvSpPr>
        <xdr:cNvPr id="52" name="任意多边形 51"/>
        <xdr:cNvSpPr/>
      </xdr:nvSpPr>
      <xdr:spPr>
        <a:xfrm rot="21240000">
          <a:off x="11341735" y="4471035"/>
          <a:ext cx="826770" cy="432435"/>
        </a:xfrm>
        <a:custGeom>
          <a:avLst/>
          <a:gdLst>
            <a:gd name="connisteX0" fmla="*/ 80566 w 827275"/>
            <a:gd name="connsiteY0" fmla="*/ 169274 h 486855"/>
            <a:gd name="connisteX1" fmla="*/ 422831 w 827275"/>
            <a:gd name="connsiteY1" fmla="*/ 80374 h 486855"/>
            <a:gd name="connisteX2" fmla="*/ 688896 w 827275"/>
            <a:gd name="connsiteY2" fmla="*/ 17509 h 486855"/>
            <a:gd name="connisteX3" fmla="*/ 814626 w 827275"/>
            <a:gd name="connsiteY3" fmla="*/ 2269 h 486855"/>
            <a:gd name="connisteX4" fmla="*/ 818436 w 827275"/>
            <a:gd name="connsiteY4" fmla="*/ 45449 h 486855"/>
            <a:gd name="connisteX5" fmla="*/ 814626 w 827275"/>
            <a:gd name="connsiteY5" fmla="*/ 229599 h 486855"/>
            <a:gd name="connisteX6" fmla="*/ 796846 w 827275"/>
            <a:gd name="connsiteY6" fmla="*/ 381364 h 486855"/>
            <a:gd name="connisteX7" fmla="*/ 727631 w 827275"/>
            <a:gd name="connsiteY7" fmla="*/ 461374 h 486855"/>
            <a:gd name="connisteX8" fmla="*/ 630476 w 827275"/>
            <a:gd name="connsiteY8" fmla="*/ 482964 h 486855"/>
            <a:gd name="connisteX9" fmla="*/ 515541 w 827275"/>
            <a:gd name="connsiteY9" fmla="*/ 472169 h 486855"/>
            <a:gd name="connisteX10" fmla="*/ 412036 w 827275"/>
            <a:gd name="connsiteY10" fmla="*/ 368029 h 486855"/>
            <a:gd name="connisteX11" fmla="*/ 325041 w 827275"/>
            <a:gd name="connsiteY11" fmla="*/ 281669 h 486855"/>
            <a:gd name="connisteX12" fmla="*/ 234236 w 827275"/>
            <a:gd name="connsiteY12" fmla="*/ 251189 h 486855"/>
            <a:gd name="connisteX13" fmla="*/ 97711 w 827275"/>
            <a:gd name="connsiteY13" fmla="*/ 268334 h 486855"/>
            <a:gd name="connisteX14" fmla="*/ 43736 w 827275"/>
            <a:gd name="connsiteY14" fmla="*/ 277224 h 486855"/>
            <a:gd name="connisteX15" fmla="*/ 28496 w 827275"/>
            <a:gd name="connsiteY15" fmla="*/ 286114 h 486855"/>
            <a:gd name="connisteX16" fmla="*/ 5001 w 827275"/>
            <a:gd name="connsiteY16" fmla="*/ 229599 h 486855"/>
            <a:gd name="connisteX17" fmla="*/ 20241 w 827275"/>
            <a:gd name="connsiteY17" fmla="*/ 180069 h 486855"/>
            <a:gd name="connisteX18" fmla="*/ 163116 w 827275"/>
            <a:gd name="connsiteY18" fmla="*/ 136889 h 486855"/>
            <a:gd name="connisteX19" fmla="*/ 316786 w 827275"/>
            <a:gd name="connsiteY19" fmla="*/ 103869 h 486855"/>
            <a:gd name="connisteX20" fmla="*/ 329486 w 827275"/>
            <a:gd name="connsiteY20" fmla="*/ 97519 h 486855"/>
          </a:gdLst>
          <a:ahLst/>
          <a:cxnLst>
            <a:cxn ang="0">
              <a:pos x="connisteX0" y="connsiteY0"/>
            </a:cxn>
            <a:cxn ang="0">
              <a:pos x="connisteX1" y="connsiteY1"/>
            </a:cxn>
            <a:cxn ang="0">
              <a:pos x="connisteX2" y="connsiteY2"/>
            </a:cxn>
            <a:cxn ang="0">
              <a:pos x="connisteX3" y="connsiteY3"/>
            </a:cxn>
            <a:cxn ang="0">
              <a:pos x="connisteX4" y="connsiteY4"/>
            </a:cxn>
            <a:cxn ang="0">
              <a:pos x="connisteX5" y="connsiteY5"/>
            </a:cxn>
            <a:cxn ang="0">
              <a:pos x="connisteX6" y="connsiteY6"/>
            </a:cxn>
            <a:cxn ang="0">
              <a:pos x="connisteX7" y="connsiteY7"/>
            </a:cxn>
            <a:cxn ang="0">
              <a:pos x="connisteX8" y="connsiteY8"/>
            </a:cxn>
            <a:cxn ang="0">
              <a:pos x="connisteX9" y="connsiteY9"/>
            </a:cxn>
            <a:cxn ang="0">
              <a:pos x="connisteX10" y="connsiteY10"/>
            </a:cxn>
            <a:cxn ang="0">
              <a:pos x="connisteX11" y="connsiteY11"/>
            </a:cxn>
            <a:cxn ang="0">
              <a:pos x="connisteX12" y="connsiteY12"/>
            </a:cxn>
            <a:cxn ang="0">
              <a:pos x="connisteX13" y="connsiteY13"/>
            </a:cxn>
            <a:cxn ang="0">
              <a:pos x="connisteX14" y="connsiteY14"/>
            </a:cxn>
            <a:cxn ang="0">
              <a:pos x="connisteX15" y="connsiteY15"/>
            </a:cxn>
            <a:cxn ang="0">
              <a:pos x="connisteX16" y="connsiteY16"/>
            </a:cxn>
            <a:cxn ang="0">
              <a:pos x="connisteX17" y="connsiteY17"/>
            </a:cxn>
            <a:cxn ang="0">
              <a:pos x="connisteX18" y="connsiteY18"/>
            </a:cxn>
            <a:cxn ang="0">
              <a:pos x="connisteX19" y="connsiteY19"/>
            </a:cxn>
            <a:cxn ang="0">
              <a:pos x="connisteX20" y="connsiteY20"/>
            </a:cxn>
          </a:cxnLst>
          <a:rect l="l" t="t" r="r" b="b"/>
          <a:pathLst>
            <a:path w="827276" h="486855">
              <a:moveTo>
                <a:pt x="80567" y="169274"/>
              </a:moveTo>
              <a:cubicBezTo>
                <a:pt x="143432" y="152764"/>
                <a:pt x="300912" y="110854"/>
                <a:pt x="422832" y="80374"/>
              </a:cubicBezTo>
              <a:cubicBezTo>
                <a:pt x="544752" y="49894"/>
                <a:pt x="610792" y="33384"/>
                <a:pt x="688897" y="17509"/>
              </a:cubicBezTo>
              <a:cubicBezTo>
                <a:pt x="767002" y="1634"/>
                <a:pt x="788592" y="-3446"/>
                <a:pt x="814627" y="2269"/>
              </a:cubicBezTo>
              <a:cubicBezTo>
                <a:pt x="840662" y="7984"/>
                <a:pt x="818437" y="-271"/>
                <a:pt x="818437" y="45449"/>
              </a:cubicBezTo>
              <a:cubicBezTo>
                <a:pt x="818437" y="91169"/>
                <a:pt x="819072" y="162289"/>
                <a:pt x="814627" y="229599"/>
              </a:cubicBezTo>
              <a:cubicBezTo>
                <a:pt x="810182" y="296909"/>
                <a:pt x="813992" y="335009"/>
                <a:pt x="796847" y="381364"/>
              </a:cubicBezTo>
              <a:cubicBezTo>
                <a:pt x="779702" y="427719"/>
                <a:pt x="760652" y="441054"/>
                <a:pt x="727632" y="461374"/>
              </a:cubicBezTo>
              <a:cubicBezTo>
                <a:pt x="694612" y="481694"/>
                <a:pt x="673022" y="481059"/>
                <a:pt x="630477" y="482964"/>
              </a:cubicBezTo>
              <a:cubicBezTo>
                <a:pt x="587932" y="484869"/>
                <a:pt x="559357" y="495029"/>
                <a:pt x="515542" y="472169"/>
              </a:cubicBezTo>
              <a:cubicBezTo>
                <a:pt x="471727" y="449309"/>
                <a:pt x="450137" y="406129"/>
                <a:pt x="412037" y="368029"/>
              </a:cubicBezTo>
              <a:cubicBezTo>
                <a:pt x="373937" y="329929"/>
                <a:pt x="360602" y="305164"/>
                <a:pt x="325042" y="281669"/>
              </a:cubicBezTo>
              <a:cubicBezTo>
                <a:pt x="289482" y="258174"/>
                <a:pt x="279957" y="253729"/>
                <a:pt x="234237" y="251189"/>
              </a:cubicBezTo>
              <a:cubicBezTo>
                <a:pt x="188517" y="248649"/>
                <a:pt x="135812" y="263254"/>
                <a:pt x="97712" y="268334"/>
              </a:cubicBezTo>
              <a:cubicBezTo>
                <a:pt x="59612" y="273414"/>
                <a:pt x="57707" y="273414"/>
                <a:pt x="43737" y="277224"/>
              </a:cubicBezTo>
              <a:cubicBezTo>
                <a:pt x="29767" y="281034"/>
                <a:pt x="36117" y="295639"/>
                <a:pt x="28497" y="286114"/>
              </a:cubicBezTo>
              <a:cubicBezTo>
                <a:pt x="20877" y="276589"/>
                <a:pt x="6907" y="250554"/>
                <a:pt x="5002" y="229599"/>
              </a:cubicBezTo>
              <a:cubicBezTo>
                <a:pt x="3097" y="208644"/>
                <a:pt x="-11508" y="198484"/>
                <a:pt x="20242" y="180069"/>
              </a:cubicBezTo>
              <a:cubicBezTo>
                <a:pt x="51992" y="161654"/>
                <a:pt x="104062" y="152129"/>
                <a:pt x="163117" y="136889"/>
              </a:cubicBezTo>
              <a:cubicBezTo>
                <a:pt x="222172" y="121649"/>
                <a:pt x="283767" y="111489"/>
                <a:pt x="316787" y="103869"/>
              </a:cubicBezTo>
            </a:path>
          </a:pathLst>
        </a:custGeom>
        <a:no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xdr:spPr>
      <xdr:txBody>
        <a:bodyPr/>
        <a:p>
          <a:endParaRPr lang="zh-CN" altLang="en-US"/>
        </a:p>
      </xdr:txBody>
    </xdr:sp>
    <xdr:clientData/>
  </xdr:twoCellAnchor>
  <xdr:twoCellAnchor>
    <xdr:from>
      <xdr:col>11</xdr:col>
      <xdr:colOff>526415</xdr:colOff>
      <xdr:row>21</xdr:row>
      <xdr:rowOff>143510</xdr:rowOff>
    </xdr:from>
    <xdr:to>
      <xdr:col>12</xdr:col>
      <xdr:colOff>485140</xdr:colOff>
      <xdr:row>21</xdr:row>
      <xdr:rowOff>156845</xdr:rowOff>
    </xdr:to>
    <xdr:sp>
      <xdr:nvSpPr>
        <xdr:cNvPr id="53" name="任意多边形 52"/>
        <xdr:cNvSpPr/>
      </xdr:nvSpPr>
      <xdr:spPr>
        <a:xfrm>
          <a:off x="11508740" y="4660900"/>
          <a:ext cx="644525" cy="13335"/>
        </a:xfrm>
        <a:custGeom>
          <a:avLst/>
          <a:gdLst>
            <a:gd name="connisteX0" fmla="*/ 0 w 645160"/>
            <a:gd name="connsiteY0" fmla="*/ 13369 h 13369"/>
            <a:gd name="connisteX1" fmla="*/ 182245 w 645160"/>
            <a:gd name="connsiteY1" fmla="*/ 6384 h 13369"/>
            <a:gd name="connisteX2" fmla="*/ 353060 w 645160"/>
            <a:gd name="connsiteY2" fmla="*/ 8924 h 13369"/>
            <a:gd name="connisteX3" fmla="*/ 521970 w 645160"/>
            <a:gd name="connsiteY3" fmla="*/ 34 h 13369"/>
            <a:gd name="connisteX4" fmla="*/ 610870 w 645160"/>
            <a:gd name="connsiteY4" fmla="*/ 10829 h 13369"/>
            <a:gd name="connisteX5" fmla="*/ 645160 w 645160"/>
            <a:gd name="connsiteY5" fmla="*/ 6384 h 13369"/>
            <a:gd name="connisteX6" fmla="*/ 671195 w 645160"/>
            <a:gd name="connsiteY6" fmla="*/ 8924 h 13369"/>
          </a:gdLst>
          <a:ahLst/>
          <a:cxnLst>
            <a:cxn ang="0">
              <a:pos x="connisteX0" y="connsiteY0"/>
            </a:cxn>
            <a:cxn ang="0">
              <a:pos x="connisteX1" y="connsiteY1"/>
            </a:cxn>
            <a:cxn ang="0">
              <a:pos x="connisteX2" y="connsiteY2"/>
            </a:cxn>
            <a:cxn ang="0">
              <a:pos x="connisteX3" y="connsiteY3"/>
            </a:cxn>
            <a:cxn ang="0">
              <a:pos x="connisteX4" y="connsiteY4"/>
            </a:cxn>
            <a:cxn ang="0">
              <a:pos x="connisteX5" y="connsiteY5"/>
            </a:cxn>
            <a:cxn ang="0">
              <a:pos x="connisteX6" y="connsiteY6"/>
            </a:cxn>
          </a:cxnLst>
          <a:rect l="l" t="t" r="r" b="b"/>
          <a:pathLst>
            <a:path w="645160" h="13370">
              <a:moveTo>
                <a:pt x="0" y="13370"/>
              </a:moveTo>
              <a:cubicBezTo>
                <a:pt x="33020" y="12100"/>
                <a:pt x="111760" y="7020"/>
                <a:pt x="182245" y="6385"/>
              </a:cubicBezTo>
              <a:cubicBezTo>
                <a:pt x="252730" y="5750"/>
                <a:pt x="285115" y="10195"/>
                <a:pt x="353060" y="8925"/>
              </a:cubicBezTo>
              <a:cubicBezTo>
                <a:pt x="421005" y="7655"/>
                <a:pt x="470535" y="-600"/>
                <a:pt x="521970" y="35"/>
              </a:cubicBezTo>
              <a:cubicBezTo>
                <a:pt x="573405" y="670"/>
                <a:pt x="586105" y="9560"/>
                <a:pt x="610870" y="10830"/>
              </a:cubicBezTo>
              <a:cubicBezTo>
                <a:pt x="635635" y="12100"/>
                <a:pt x="633095" y="7020"/>
                <a:pt x="645160" y="6385"/>
              </a:cubicBezTo>
            </a:path>
          </a:pathLst>
        </a:custGeom>
        <a:noFill/>
        <a:ln w="9525" cap="flat" cmpd="sng">
          <a:solidFill>
            <a:srgbClr val="FF0000"/>
          </a:solidFill>
          <a:prstDash val="solid"/>
          <a:headEnd type="none" w="med" len="med"/>
          <a:tailEnd type="none" w="med" len="med"/>
        </a:ln>
      </xdr:spPr>
      <xdr:txBody>
        <a:bodyPr/>
        <a:p>
          <a:endParaRPr lang="zh-CN" altLang="en-US"/>
        </a:p>
      </xdr:txBody>
    </xdr:sp>
    <xdr:clientData/>
  </xdr:twoCellAnchor>
  <xdr:twoCellAnchor>
    <xdr:from>
      <xdr:col>7</xdr:col>
      <xdr:colOff>180975</xdr:colOff>
      <xdr:row>28</xdr:row>
      <xdr:rowOff>38100</xdr:rowOff>
    </xdr:from>
    <xdr:to>
      <xdr:col>7</xdr:col>
      <xdr:colOff>195580</xdr:colOff>
      <xdr:row>33</xdr:row>
      <xdr:rowOff>124460</xdr:rowOff>
    </xdr:to>
    <xdr:cxnSp>
      <xdr:nvCxnSpPr>
        <xdr:cNvPr id="54" name="直接连接符 53"/>
        <xdr:cNvCxnSpPr/>
      </xdr:nvCxnSpPr>
      <xdr:spPr>
        <a:xfrm>
          <a:off x="6705600" y="5822315"/>
          <a:ext cx="14605" cy="991235"/>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7</xdr:col>
      <xdr:colOff>191135</xdr:colOff>
      <xdr:row>32</xdr:row>
      <xdr:rowOff>195580</xdr:rowOff>
    </xdr:from>
    <xdr:to>
      <xdr:col>7</xdr:col>
      <xdr:colOff>529590</xdr:colOff>
      <xdr:row>33</xdr:row>
      <xdr:rowOff>4445</xdr:rowOff>
    </xdr:to>
    <xdr:cxnSp>
      <xdr:nvCxnSpPr>
        <xdr:cNvPr id="56" name="直接箭头连接符 55"/>
        <xdr:cNvCxnSpPr/>
      </xdr:nvCxnSpPr>
      <xdr:spPr>
        <a:xfrm>
          <a:off x="6715760" y="6689090"/>
          <a:ext cx="338455" cy="4445"/>
        </a:xfrm>
        <a:prstGeom prst="straightConnector1">
          <a:avLst/>
        </a:prstGeom>
        <a:ln w="3175">
          <a:solidFill>
            <a:srgbClr val="2C10FA"/>
          </a:solidFill>
          <a:headEnd type="triangle" w="med" len="med"/>
          <a:tailEnd type="triangle" w="med" len="med"/>
        </a:ln>
      </xdr:spPr>
      <xdr:style>
        <a:lnRef idx="2">
          <a:schemeClr val="accent1"/>
        </a:lnRef>
        <a:fillRef idx="0">
          <a:srgbClr val="FFFFFF"/>
        </a:fillRef>
        <a:effectRef idx="0">
          <a:srgbClr val="FFFFFF"/>
        </a:effectRef>
        <a:fontRef idx="minor">
          <a:schemeClr val="tx1"/>
        </a:fontRef>
      </xdr:style>
    </xdr:cxnSp>
    <xdr:clientData/>
  </xdr:twoCellAnchor>
  <xdr:twoCellAnchor>
    <xdr:from>
      <xdr:col>6</xdr:col>
      <xdr:colOff>929005</xdr:colOff>
      <xdr:row>32</xdr:row>
      <xdr:rowOff>195580</xdr:rowOff>
    </xdr:from>
    <xdr:to>
      <xdr:col>7</xdr:col>
      <xdr:colOff>191135</xdr:colOff>
      <xdr:row>32</xdr:row>
      <xdr:rowOff>200660</xdr:rowOff>
    </xdr:to>
    <xdr:cxnSp>
      <xdr:nvCxnSpPr>
        <xdr:cNvPr id="57" name="直接连接符 56"/>
        <xdr:cNvCxnSpPr/>
      </xdr:nvCxnSpPr>
      <xdr:spPr>
        <a:xfrm flipV="1">
          <a:off x="5939155" y="6689090"/>
          <a:ext cx="776605" cy="0"/>
        </a:xfrm>
        <a:prstGeom prst="line">
          <a:avLst/>
        </a:prstGeom>
        <a:ln w="3175">
          <a:solidFill>
            <a:srgbClr val="2C10FA"/>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6</xdr:col>
      <xdr:colOff>861695</xdr:colOff>
      <xdr:row>31</xdr:row>
      <xdr:rowOff>158750</xdr:rowOff>
    </xdr:from>
    <xdr:to>
      <xdr:col>7</xdr:col>
      <xdr:colOff>247650</xdr:colOff>
      <xdr:row>33</xdr:row>
      <xdr:rowOff>34925</xdr:rowOff>
    </xdr:to>
    <xdr:sp>
      <xdr:nvSpPr>
        <xdr:cNvPr id="58" name="文本框 57"/>
        <xdr:cNvSpPr txBox="1"/>
      </xdr:nvSpPr>
      <xdr:spPr>
        <a:xfrm>
          <a:off x="5871845" y="6485890"/>
          <a:ext cx="900430" cy="23812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1100"/>
            <a:t>分流锥长度</a:t>
          </a:r>
          <a:endParaRPr lang="zh-CN" altLang="en-US" sz="1100"/>
        </a:p>
      </xdr:txBody>
    </xdr:sp>
    <xdr:clientData/>
  </xdr:twoCellAnchor>
  <xdr:twoCellAnchor editAs="oneCell">
    <xdr:from>
      <xdr:col>6</xdr:col>
      <xdr:colOff>1443355</xdr:colOff>
      <xdr:row>34</xdr:row>
      <xdr:rowOff>76200</xdr:rowOff>
    </xdr:from>
    <xdr:to>
      <xdr:col>10</xdr:col>
      <xdr:colOff>567055</xdr:colOff>
      <xdr:row>43</xdr:row>
      <xdr:rowOff>95885</xdr:rowOff>
    </xdr:to>
    <xdr:pic>
      <xdr:nvPicPr>
        <xdr:cNvPr id="59" name="图片 58"/>
        <xdr:cNvPicPr>
          <a:picLocks noChangeAspect="1"/>
        </xdr:cNvPicPr>
      </xdr:nvPicPr>
      <xdr:blipFill>
        <a:blip r:embed="rId1"/>
        <a:stretch>
          <a:fillRect/>
        </a:stretch>
      </xdr:blipFill>
      <xdr:spPr>
        <a:xfrm>
          <a:off x="6453505" y="6946265"/>
          <a:ext cx="4410075" cy="164846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107950</xdr:colOff>
      <xdr:row>46</xdr:row>
      <xdr:rowOff>111125</xdr:rowOff>
    </xdr:from>
    <xdr:to>
      <xdr:col>4</xdr:col>
      <xdr:colOff>1344930</xdr:colOff>
      <xdr:row>49</xdr:row>
      <xdr:rowOff>76200</xdr:rowOff>
    </xdr:to>
    <xdr:pic>
      <xdr:nvPicPr>
        <xdr:cNvPr id="150711" name="图片 17"/>
        <xdr:cNvPicPr>
          <a:picLocks noChangeAspect="1"/>
        </xdr:cNvPicPr>
      </xdr:nvPicPr>
      <xdr:blipFill>
        <a:blip r:embed="rId1"/>
        <a:stretch>
          <a:fillRect/>
        </a:stretch>
      </xdr:blipFill>
      <xdr:spPr>
        <a:xfrm>
          <a:off x="1422400" y="8674735"/>
          <a:ext cx="3218180" cy="508000"/>
        </a:xfrm>
        <a:prstGeom prst="rect">
          <a:avLst/>
        </a:prstGeom>
        <a:noFill/>
        <a:ln w="9525">
          <a:noFill/>
        </a:ln>
      </xdr:spPr>
    </xdr:pic>
    <xdr:clientData/>
  </xdr:twoCellAnchor>
  <xdr:twoCellAnchor editAs="oneCell">
    <xdr:from>
      <xdr:col>2</xdr:col>
      <xdr:colOff>31750</xdr:colOff>
      <xdr:row>62</xdr:row>
      <xdr:rowOff>24765</xdr:rowOff>
    </xdr:from>
    <xdr:to>
      <xdr:col>4</xdr:col>
      <xdr:colOff>810260</xdr:colOff>
      <xdr:row>65</xdr:row>
      <xdr:rowOff>38100</xdr:rowOff>
    </xdr:to>
    <xdr:pic>
      <xdr:nvPicPr>
        <xdr:cNvPr id="150712" name="图片 19"/>
        <xdr:cNvPicPr>
          <a:picLocks noChangeAspect="1"/>
        </xdr:cNvPicPr>
      </xdr:nvPicPr>
      <xdr:blipFill>
        <a:blip r:embed="rId2"/>
        <a:stretch>
          <a:fillRect/>
        </a:stretch>
      </xdr:blipFill>
      <xdr:spPr>
        <a:xfrm>
          <a:off x="1346200" y="11483975"/>
          <a:ext cx="2759710" cy="556260"/>
        </a:xfrm>
        <a:prstGeom prst="rect">
          <a:avLst/>
        </a:prstGeom>
        <a:noFill/>
        <a:ln w="9525">
          <a:noFill/>
        </a:ln>
      </xdr:spPr>
    </xdr:pic>
    <xdr:clientData/>
  </xdr:twoCellAnchor>
  <xdr:twoCellAnchor editAs="oneCell">
    <xdr:from>
      <xdr:col>1</xdr:col>
      <xdr:colOff>565150</xdr:colOff>
      <xdr:row>106</xdr:row>
      <xdr:rowOff>72390</xdr:rowOff>
    </xdr:from>
    <xdr:to>
      <xdr:col>5</xdr:col>
      <xdr:colOff>26035</xdr:colOff>
      <xdr:row>124</xdr:row>
      <xdr:rowOff>82550</xdr:rowOff>
    </xdr:to>
    <xdr:pic>
      <xdr:nvPicPr>
        <xdr:cNvPr id="150713" name="图片 20"/>
        <xdr:cNvPicPr>
          <a:picLocks noChangeAspect="1"/>
        </xdr:cNvPicPr>
      </xdr:nvPicPr>
      <xdr:blipFill>
        <a:blip r:embed="rId3"/>
        <a:stretch>
          <a:fillRect/>
        </a:stretch>
      </xdr:blipFill>
      <xdr:spPr>
        <a:xfrm>
          <a:off x="1222375" y="21426805"/>
          <a:ext cx="3880485" cy="3267710"/>
        </a:xfrm>
        <a:prstGeom prst="rect">
          <a:avLst/>
        </a:prstGeom>
        <a:noFill/>
        <a:ln w="9525">
          <a:noFill/>
        </a:ln>
      </xdr:spPr>
    </xdr:pic>
    <xdr:clientData/>
  </xdr:twoCellAnchor>
  <xdr:twoCellAnchor>
    <xdr:from>
      <xdr:col>7</xdr:col>
      <xdr:colOff>254000</xdr:colOff>
      <xdr:row>26</xdr:row>
      <xdr:rowOff>114300</xdr:rowOff>
    </xdr:from>
    <xdr:to>
      <xdr:col>17</xdr:col>
      <xdr:colOff>180340</xdr:colOff>
      <xdr:row>170</xdr:row>
      <xdr:rowOff>168910</xdr:rowOff>
    </xdr:to>
    <xdr:grpSp>
      <xdr:nvGrpSpPr>
        <xdr:cNvPr id="150714" name="组合 11"/>
        <xdr:cNvGrpSpPr/>
      </xdr:nvGrpSpPr>
      <xdr:grpSpPr>
        <a:xfrm>
          <a:off x="6645275" y="4984115"/>
          <a:ext cx="6498590" cy="28800425"/>
          <a:chOff x="5350" y="3400"/>
          <a:chExt cx="7995" cy="41110"/>
        </a:xfrm>
      </xdr:grpSpPr>
      <xdr:pic>
        <xdr:nvPicPr>
          <xdr:cNvPr id="150715" name="图片 10"/>
          <xdr:cNvPicPr>
            <a:picLocks noChangeAspect="1"/>
          </xdr:cNvPicPr>
        </xdr:nvPicPr>
        <xdr:blipFill>
          <a:blip r:embed="rId4"/>
          <a:stretch>
            <a:fillRect/>
          </a:stretch>
        </xdr:blipFill>
        <xdr:spPr>
          <a:xfrm>
            <a:off x="5430" y="3400"/>
            <a:ext cx="7790" cy="5934"/>
          </a:xfrm>
          <a:prstGeom prst="rect">
            <a:avLst/>
          </a:prstGeom>
          <a:noFill/>
          <a:ln w="9525">
            <a:noFill/>
          </a:ln>
        </xdr:spPr>
      </xdr:pic>
      <xdr:pic>
        <xdr:nvPicPr>
          <xdr:cNvPr id="150716" name="图片 11"/>
          <xdr:cNvPicPr>
            <a:picLocks noChangeAspect="1"/>
          </xdr:cNvPicPr>
        </xdr:nvPicPr>
        <xdr:blipFill>
          <a:blip r:embed="rId5"/>
          <a:stretch>
            <a:fillRect/>
          </a:stretch>
        </xdr:blipFill>
        <xdr:spPr>
          <a:xfrm>
            <a:off x="5420" y="9490"/>
            <a:ext cx="7800" cy="6175"/>
          </a:xfrm>
          <a:prstGeom prst="rect">
            <a:avLst/>
          </a:prstGeom>
          <a:noFill/>
          <a:ln w="9525">
            <a:noFill/>
          </a:ln>
        </xdr:spPr>
      </xdr:pic>
      <xdr:pic>
        <xdr:nvPicPr>
          <xdr:cNvPr id="150717" name="图片 12"/>
          <xdr:cNvPicPr>
            <a:picLocks noChangeAspect="1"/>
          </xdr:cNvPicPr>
        </xdr:nvPicPr>
        <xdr:blipFill>
          <a:blip r:embed="rId6"/>
          <a:stretch>
            <a:fillRect/>
          </a:stretch>
        </xdr:blipFill>
        <xdr:spPr>
          <a:xfrm>
            <a:off x="5405" y="15890"/>
            <a:ext cx="7940" cy="8110"/>
          </a:xfrm>
          <a:prstGeom prst="rect">
            <a:avLst/>
          </a:prstGeom>
          <a:noFill/>
          <a:ln w="9525">
            <a:noFill/>
          </a:ln>
        </xdr:spPr>
      </xdr:pic>
      <xdr:pic>
        <xdr:nvPicPr>
          <xdr:cNvPr id="150718" name="图片 13"/>
          <xdr:cNvPicPr>
            <a:picLocks noChangeAspect="1"/>
          </xdr:cNvPicPr>
        </xdr:nvPicPr>
        <xdr:blipFill>
          <a:blip r:embed="rId7"/>
          <a:stretch>
            <a:fillRect/>
          </a:stretch>
        </xdr:blipFill>
        <xdr:spPr>
          <a:xfrm>
            <a:off x="5405" y="24220"/>
            <a:ext cx="7870" cy="4870"/>
          </a:xfrm>
          <a:prstGeom prst="rect">
            <a:avLst/>
          </a:prstGeom>
          <a:noFill/>
          <a:ln w="9525">
            <a:noFill/>
          </a:ln>
        </xdr:spPr>
      </xdr:pic>
      <xdr:pic>
        <xdr:nvPicPr>
          <xdr:cNvPr id="150719" name="图片 14"/>
          <xdr:cNvPicPr>
            <a:picLocks noChangeAspect="1"/>
          </xdr:cNvPicPr>
        </xdr:nvPicPr>
        <xdr:blipFill>
          <a:blip r:embed="rId8"/>
          <a:stretch>
            <a:fillRect/>
          </a:stretch>
        </xdr:blipFill>
        <xdr:spPr>
          <a:xfrm>
            <a:off x="5380" y="29290"/>
            <a:ext cx="7850" cy="7571"/>
          </a:xfrm>
          <a:prstGeom prst="rect">
            <a:avLst/>
          </a:prstGeom>
          <a:noFill/>
          <a:ln w="9525">
            <a:noFill/>
          </a:ln>
        </xdr:spPr>
      </xdr:pic>
      <xdr:pic>
        <xdr:nvPicPr>
          <xdr:cNvPr id="150720" name="图片 15"/>
          <xdr:cNvPicPr>
            <a:picLocks noChangeAspect="1"/>
          </xdr:cNvPicPr>
        </xdr:nvPicPr>
        <xdr:blipFill>
          <a:blip r:embed="rId9"/>
          <a:stretch>
            <a:fillRect/>
          </a:stretch>
        </xdr:blipFill>
        <xdr:spPr>
          <a:xfrm>
            <a:off x="5360" y="36970"/>
            <a:ext cx="7800" cy="4760"/>
          </a:xfrm>
          <a:prstGeom prst="rect">
            <a:avLst/>
          </a:prstGeom>
          <a:noFill/>
          <a:ln w="9525">
            <a:noFill/>
          </a:ln>
        </xdr:spPr>
      </xdr:pic>
      <xdr:pic>
        <xdr:nvPicPr>
          <xdr:cNvPr id="150721" name="图片 16"/>
          <xdr:cNvPicPr>
            <a:picLocks noChangeAspect="1"/>
          </xdr:cNvPicPr>
        </xdr:nvPicPr>
        <xdr:blipFill>
          <a:blip r:embed="rId10"/>
          <a:stretch>
            <a:fillRect/>
          </a:stretch>
        </xdr:blipFill>
        <xdr:spPr>
          <a:xfrm>
            <a:off x="5350" y="41920"/>
            <a:ext cx="7920" cy="2591"/>
          </a:xfrm>
          <a:prstGeom prst="rect">
            <a:avLst/>
          </a:prstGeom>
          <a:noFill/>
          <a:ln w="9525">
            <a:noFill/>
          </a:ln>
        </xdr:spPr>
      </xdr:pic>
    </xdr:grpSp>
    <xdr:clientData/>
  </xdr:twoCellAnchor>
  <xdr:twoCellAnchor editAs="oneCell">
    <xdr:from>
      <xdr:col>21</xdr:col>
      <xdr:colOff>156210</xdr:colOff>
      <xdr:row>1</xdr:row>
      <xdr:rowOff>289560</xdr:rowOff>
    </xdr:from>
    <xdr:to>
      <xdr:col>24</xdr:col>
      <xdr:colOff>413385</xdr:colOff>
      <xdr:row>25</xdr:row>
      <xdr:rowOff>168275</xdr:rowOff>
    </xdr:to>
    <xdr:pic>
      <xdr:nvPicPr>
        <xdr:cNvPr id="150722" name="图片 9"/>
        <xdr:cNvPicPr>
          <a:picLocks noChangeAspect="1"/>
        </xdr:cNvPicPr>
      </xdr:nvPicPr>
      <xdr:blipFill>
        <a:blip r:embed="rId11"/>
        <a:stretch>
          <a:fillRect/>
        </a:stretch>
      </xdr:blipFill>
      <xdr:spPr>
        <a:xfrm>
          <a:off x="15748635" y="466725"/>
          <a:ext cx="2228850" cy="4390390"/>
        </a:xfrm>
        <a:prstGeom prst="rect">
          <a:avLst/>
        </a:prstGeom>
        <a:noFill/>
        <a:ln w="9525">
          <a:noFill/>
        </a:ln>
      </xdr:spPr>
    </xdr:pic>
    <xdr:clientData/>
  </xdr:twoCellAnchor>
  <xdr:twoCellAnchor>
    <xdr:from>
      <xdr:col>1</xdr:col>
      <xdr:colOff>393700</xdr:colOff>
      <xdr:row>91</xdr:row>
      <xdr:rowOff>69215</xdr:rowOff>
    </xdr:from>
    <xdr:to>
      <xdr:col>4</xdr:col>
      <xdr:colOff>381635</xdr:colOff>
      <xdr:row>93</xdr:row>
      <xdr:rowOff>347980</xdr:rowOff>
    </xdr:to>
    <xdr:pic>
      <xdr:nvPicPr>
        <xdr:cNvPr id="150723" name="图片 2"/>
        <xdr:cNvPicPr>
          <a:picLocks noChangeAspect="1"/>
        </xdr:cNvPicPr>
      </xdr:nvPicPr>
      <xdr:blipFill>
        <a:blip r:embed="rId12"/>
        <a:stretch>
          <a:fillRect/>
        </a:stretch>
      </xdr:blipFill>
      <xdr:spPr>
        <a:xfrm>
          <a:off x="1050925" y="16776700"/>
          <a:ext cx="2626360" cy="640715"/>
        </a:xfrm>
        <a:prstGeom prst="rect">
          <a:avLst/>
        </a:prstGeom>
        <a:noFill/>
        <a:ln w="9525">
          <a:noFill/>
        </a:ln>
      </xdr:spPr>
    </xdr:pic>
    <xdr:clientData/>
  </xdr:twoCellAnchor>
  <xdr:twoCellAnchor>
    <xdr:from>
      <xdr:col>4</xdr:col>
      <xdr:colOff>1572260</xdr:colOff>
      <xdr:row>29</xdr:row>
      <xdr:rowOff>16510</xdr:rowOff>
    </xdr:from>
    <xdr:to>
      <xdr:col>8</xdr:col>
      <xdr:colOff>227330</xdr:colOff>
      <xdr:row>31</xdr:row>
      <xdr:rowOff>36830</xdr:rowOff>
    </xdr:to>
    <xdr:cxnSp>
      <xdr:nvCxnSpPr>
        <xdr:cNvPr id="2" name="直接箭头连接符 3"/>
        <xdr:cNvCxnSpPr/>
      </xdr:nvCxnSpPr>
      <xdr:spPr>
        <a:xfrm>
          <a:off x="4867910" y="5503545"/>
          <a:ext cx="2407920" cy="382270"/>
        </a:xfrm>
        <a:prstGeom prst="straightConnector1">
          <a:avLst/>
        </a:prstGeom>
        <a:ln w="57150">
          <a:solidFill>
            <a:srgbClr val="FF0000"/>
          </a:solidFill>
          <a:tailEnd type="arrow"/>
        </a:ln>
      </xdr:spPr>
      <xdr:style>
        <a:lnRef idx="2">
          <a:schemeClr val="accent1"/>
        </a:lnRef>
        <a:fillRef idx="0">
          <a:srgbClr val="FFFFFF"/>
        </a:fillRef>
        <a:effectRef idx="0">
          <a:srgbClr val="FFFFFF"/>
        </a:effectRef>
        <a:fontRef idx="minor">
          <a:schemeClr val="tx1"/>
        </a:fontRef>
      </xdr:style>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X142"/>
  <sheetViews>
    <sheetView showGridLines="0" topLeftCell="A46" workbookViewId="0">
      <selection activeCell="D75" sqref="D75"/>
    </sheetView>
  </sheetViews>
  <sheetFormatPr defaultColWidth="8.625" defaultRowHeight="14.25"/>
  <cols>
    <col min="1" max="1" width="9" style="1"/>
    <col min="2" max="2" width="26" style="1" customWidth="1"/>
    <col min="3" max="3" width="20" style="1" customWidth="1"/>
    <col min="4" max="4" width="12" style="1" customWidth="1"/>
    <col min="5" max="5" width="19" style="1" customWidth="1"/>
    <col min="6" max="6" width="9.5" style="1" customWidth="1"/>
    <col min="7" max="7" width="9" style="1"/>
    <col min="8" max="8" width="18.5" style="1" customWidth="1"/>
    <col min="9" max="9" width="9.125" style="1" customWidth="1"/>
    <col min="10" max="10" width="11" style="1" customWidth="1"/>
    <col min="11" max="11" width="0.125" style="1" customWidth="1"/>
    <col min="12" max="12" width="9" style="2"/>
    <col min="13" max="13" width="18.625" style="3" customWidth="1"/>
    <col min="14" max="14" width="9.875" style="2" customWidth="1"/>
    <col min="15" max="15" width="11.125" style="2" customWidth="1"/>
    <col min="16" max="16" width="13.5" style="2" customWidth="1"/>
    <col min="17" max="19" width="12" style="2" customWidth="1"/>
    <col min="20" max="23" width="8.625" style="3" customWidth="1"/>
    <col min="24" max="26" width="9" style="2"/>
    <col min="27" max="31" width="9" style="1"/>
    <col min="32" max="16384" width="8.625" style="1"/>
  </cols>
  <sheetData>
    <row r="1" ht="20.1" customHeight="1" spans="2:13">
      <c r="B1" s="44" t="s">
        <v>0</v>
      </c>
      <c r="C1" s="45"/>
      <c r="D1" s="45"/>
      <c r="E1" s="45"/>
      <c r="F1" s="45"/>
      <c r="G1" s="45"/>
      <c r="H1" s="45"/>
      <c r="I1" s="45"/>
      <c r="J1" s="46"/>
      <c r="L1" s="47"/>
    </row>
    <row r="2" ht="20.1" customHeight="1" spans="2:13">
      <c r="B2" s="48"/>
      <c r="C2" s="49"/>
      <c r="D2" s="49"/>
      <c r="E2" s="49"/>
      <c r="F2" s="49"/>
      <c r="G2" s="49"/>
      <c r="H2" s="49"/>
      <c r="I2" s="49"/>
      <c r="J2" s="50"/>
      <c r="L2" s="51"/>
    </row>
    <row r="3" ht="20.1" customHeight="1" spans="2:13">
      <c r="B3" s="48"/>
      <c r="C3" s="49"/>
      <c r="D3" s="49"/>
      <c r="E3" s="49"/>
      <c r="F3" s="49"/>
      <c r="G3" s="49"/>
      <c r="H3" s="49"/>
      <c r="I3" s="49"/>
      <c r="J3" s="50"/>
      <c r="L3" s="51"/>
    </row>
    <row r="4" ht="20.1" customHeight="1" spans="2:13">
      <c r="B4" s="48"/>
      <c r="C4" s="49"/>
      <c r="D4" s="49"/>
      <c r="E4" s="49"/>
      <c r="F4" s="49"/>
      <c r="G4" s="49"/>
      <c r="H4" s="49"/>
      <c r="I4" s="49"/>
      <c r="J4" s="50"/>
      <c r="L4" s="51"/>
    </row>
    <row r="5" ht="20.1" customHeight="1" spans="2:13">
      <c r="B5" s="48"/>
      <c r="C5" s="49"/>
      <c r="D5" s="49"/>
      <c r="E5" s="49"/>
      <c r="F5" s="49"/>
      <c r="G5" s="49"/>
      <c r="H5" s="49"/>
      <c r="I5" s="49"/>
      <c r="J5" s="50"/>
      <c r="L5" s="51"/>
    </row>
    <row r="6" ht="20.1" customHeight="1" spans="2:13">
      <c r="B6" s="48"/>
      <c r="C6" s="49"/>
      <c r="D6" s="49"/>
      <c r="E6" s="49"/>
      <c r="F6" s="49"/>
      <c r="G6" s="49"/>
      <c r="H6" s="49"/>
      <c r="I6" s="49"/>
      <c r="J6" s="50"/>
      <c r="L6" s="51"/>
    </row>
    <row r="7" ht="20.1" customHeight="1" spans="2:13">
      <c r="B7" s="48"/>
      <c r="C7" s="49"/>
      <c r="D7" s="49"/>
      <c r="E7" s="49"/>
      <c r="F7" s="49"/>
      <c r="G7" s="49"/>
      <c r="H7" s="49"/>
      <c r="I7" s="49"/>
      <c r="J7" s="50"/>
      <c r="L7" s="51"/>
    </row>
    <row r="8" ht="20.1" customHeight="1" spans="2:13">
      <c r="B8" s="52"/>
      <c r="C8" s="49"/>
      <c r="D8" s="49"/>
      <c r="E8" s="49"/>
      <c r="F8" s="49"/>
      <c r="G8" s="49"/>
      <c r="H8" s="49"/>
      <c r="I8" s="49"/>
      <c r="J8" s="50"/>
      <c r="L8" s="53"/>
    </row>
    <row r="9" ht="26.1" customHeight="1" spans="2:13">
      <c r="B9" s="54"/>
      <c r="C9" s="55"/>
      <c r="D9" s="55"/>
      <c r="E9" s="55"/>
      <c r="F9" s="55"/>
      <c r="G9" s="55"/>
      <c r="H9" s="55"/>
      <c r="I9" s="55"/>
      <c r="J9" s="56"/>
      <c r="L9" s="57"/>
    </row>
    <row r="10" ht="18" customHeight="1" spans="2:13">
      <c r="B10" s="58" t="s">
        <v>1</v>
      </c>
      <c r="C10" s="59"/>
      <c r="D10" s="59"/>
      <c r="E10" s="59"/>
      <c r="F10" s="59"/>
      <c r="G10" s="59"/>
      <c r="H10" s="59"/>
      <c r="I10" s="59"/>
      <c r="J10" s="60"/>
      <c r="L10" s="57"/>
    </row>
    <row r="11" ht="18" customHeight="1" spans="2:13">
      <c r="B11" s="61"/>
      <c r="C11" s="62"/>
      <c r="D11" s="62"/>
      <c r="E11" s="62"/>
      <c r="F11" s="62"/>
      <c r="G11" s="62"/>
      <c r="H11" s="62"/>
      <c r="I11" s="62"/>
      <c r="J11" s="63"/>
      <c r="L11" s="57"/>
    </row>
    <row r="12" ht="24.95" customHeight="1" spans="2:13">
      <c r="B12" s="64" t="s">
        <v>2</v>
      </c>
      <c r="C12" s="64"/>
      <c r="D12" s="64"/>
      <c r="E12" s="64"/>
      <c r="F12" s="64"/>
      <c r="G12" s="64"/>
      <c r="H12" s="64"/>
      <c r="I12" s="64"/>
      <c r="J12" s="64"/>
      <c r="L12" s="57"/>
    </row>
    <row r="13" ht="18" customHeight="1" spans="2:13">
      <c r="B13" s="65" t="s">
        <v>3</v>
      </c>
      <c r="C13" s="66"/>
      <c r="D13" s="66"/>
      <c r="E13" s="67" t="s">
        <v>4</v>
      </c>
      <c r="F13" s="66"/>
      <c r="G13" s="66"/>
      <c r="H13" s="65" t="s">
        <v>5</v>
      </c>
      <c r="I13" s="68"/>
      <c r="J13" s="68"/>
      <c r="L13" s="57"/>
    </row>
    <row r="14" ht="18" customHeight="1" spans="2:13">
      <c r="B14" s="65" t="s">
        <v>6</v>
      </c>
      <c r="C14" s="66"/>
      <c r="D14" s="66"/>
      <c r="E14" s="67" t="s">
        <v>7</v>
      </c>
      <c r="F14" s="66"/>
      <c r="G14" s="66"/>
      <c r="H14" s="65" t="s">
        <v>8</v>
      </c>
      <c r="I14" s="68"/>
      <c r="J14" s="68"/>
      <c r="L14" s="57"/>
    </row>
    <row r="15" ht="18" customHeight="1" spans="2:13">
      <c r="B15" s="65" t="s">
        <v>9</v>
      </c>
      <c r="C15" s="66" t="s">
        <v>10</v>
      </c>
      <c r="D15" s="66"/>
      <c r="E15" s="67" t="s">
        <v>11</v>
      </c>
      <c r="F15" s="66"/>
      <c r="G15" s="66"/>
      <c r="H15" s="69"/>
      <c r="I15" s="70"/>
      <c r="J15" s="70"/>
      <c r="L15" s="57"/>
    </row>
    <row r="16" ht="15" spans="2:13">
      <c r="B16" s="71"/>
      <c r="C16" s="72"/>
      <c r="D16" s="72"/>
      <c r="E16" s="72"/>
      <c r="F16" s="72"/>
      <c r="G16" s="72"/>
      <c r="H16" s="72"/>
      <c r="I16" s="72"/>
      <c r="J16" s="73"/>
      <c r="L16" s="57"/>
      <c r="M16" s="3" t="s">
        <v>12</v>
      </c>
    </row>
    <row r="17" ht="15" spans="2:12">
      <c r="B17" s="74" t="s">
        <v>13</v>
      </c>
      <c r="C17" s="75"/>
      <c r="D17" s="76"/>
      <c r="E17" s="77" t="s">
        <v>14</v>
      </c>
      <c r="F17" s="78"/>
      <c r="G17" s="79"/>
      <c r="H17" s="80" t="s">
        <v>15</v>
      </c>
      <c r="I17" s="81"/>
      <c r="J17" s="82"/>
      <c r="L17" s="57"/>
    </row>
    <row r="18" spans="2:12">
      <c r="B18" s="83" t="s">
        <v>16</v>
      </c>
      <c r="C18" s="84">
        <v>1000</v>
      </c>
      <c r="D18" s="85"/>
      <c r="E18" s="86" t="s">
        <v>17</v>
      </c>
      <c r="F18" s="87">
        <v>400</v>
      </c>
      <c r="G18" s="88" t="s">
        <v>18</v>
      </c>
      <c r="H18" s="89" t="s">
        <v>19</v>
      </c>
      <c r="I18" s="90" t="s">
        <v>20</v>
      </c>
      <c r="J18" s="88"/>
      <c r="L18" s="57"/>
    </row>
    <row r="19" ht="16.5" spans="2:12">
      <c r="B19" s="83" t="s">
        <v>21</v>
      </c>
      <c r="C19" s="84">
        <v>200</v>
      </c>
      <c r="D19" s="91"/>
      <c r="E19" s="86" t="s">
        <v>22</v>
      </c>
      <c r="F19" s="87">
        <v>70</v>
      </c>
      <c r="G19" s="88" t="s">
        <v>23</v>
      </c>
      <c r="H19" s="89" t="s">
        <v>24</v>
      </c>
      <c r="I19" s="87">
        <v>2.65</v>
      </c>
      <c r="J19" s="88" t="s">
        <v>25</v>
      </c>
      <c r="L19" s="57"/>
    </row>
    <row r="20" ht="16.5" spans="2:12">
      <c r="B20" s="83" t="s">
        <v>26</v>
      </c>
      <c r="C20" s="92">
        <f>C18+C19</f>
        <v>1200</v>
      </c>
      <c r="D20" s="91"/>
      <c r="E20" s="86" t="s">
        <v>27</v>
      </c>
      <c r="F20" s="87">
        <v>115</v>
      </c>
      <c r="G20" s="88" t="s">
        <v>23</v>
      </c>
      <c r="H20" s="89" t="s">
        <v>28</v>
      </c>
      <c r="I20" s="87">
        <v>2.55</v>
      </c>
      <c r="J20" s="88" t="s">
        <v>25</v>
      </c>
      <c r="L20" s="57"/>
    </row>
    <row r="21" ht="16.5" spans="2:12">
      <c r="B21" s="83" t="s">
        <v>29</v>
      </c>
      <c r="C21" s="84">
        <v>600</v>
      </c>
      <c r="D21" s="91"/>
      <c r="E21" s="86" t="s">
        <v>30</v>
      </c>
      <c r="F21" s="87">
        <v>150</v>
      </c>
      <c r="G21" s="88" t="s">
        <v>31</v>
      </c>
      <c r="H21" s="89" t="s">
        <v>32</v>
      </c>
      <c r="I21" s="87">
        <v>570</v>
      </c>
      <c r="J21" s="88" t="s">
        <v>33</v>
      </c>
      <c r="L21" s="57"/>
    </row>
    <row r="22" ht="16.5" spans="2:12">
      <c r="B22" s="83" t="s">
        <v>34</v>
      </c>
      <c r="C22" s="93">
        <v>1</v>
      </c>
      <c r="D22" s="91"/>
      <c r="E22" s="86" t="s">
        <v>35</v>
      </c>
      <c r="F22" s="94">
        <f>压射活塞面积/名义冲头面积*名义快压蓄能器压力</f>
        <v>404.84693877551</v>
      </c>
      <c r="G22" s="88" t="s">
        <v>31</v>
      </c>
      <c r="H22" s="89" t="s">
        <v>36</v>
      </c>
      <c r="I22" s="87">
        <v>0.5</v>
      </c>
      <c r="J22" s="95" t="s">
        <v>37</v>
      </c>
      <c r="L22" s="57"/>
    </row>
    <row r="23" spans="2:12">
      <c r="B23" s="83" t="s">
        <v>38</v>
      </c>
      <c r="C23" s="96">
        <f>C20*C22</f>
        <v>1200</v>
      </c>
      <c r="D23" s="91"/>
      <c r="E23" s="97" t="s">
        <v>39</v>
      </c>
      <c r="F23" s="87">
        <v>5</v>
      </c>
      <c r="G23" s="88" t="s">
        <v>40</v>
      </c>
      <c r="H23" s="89" t="s">
        <v>41</v>
      </c>
      <c r="I23" s="87" t="s">
        <v>42</v>
      </c>
      <c r="J23" s="88" t="s">
        <v>43</v>
      </c>
      <c r="L23" s="57"/>
    </row>
    <row r="24" ht="16.5" spans="2:12">
      <c r="B24" s="83" t="s">
        <v>44</v>
      </c>
      <c r="C24" s="96">
        <f>填充重量/液体密度</f>
        <v>470.588235294118</v>
      </c>
      <c r="D24" s="91"/>
      <c r="E24" s="86" t="s">
        <v>45</v>
      </c>
      <c r="F24" s="98">
        <f>名义冲头面积*名义最大冲头速度/10</f>
        <v>19.2422550032375</v>
      </c>
      <c r="G24" s="88" t="s">
        <v>46</v>
      </c>
      <c r="L24" s="57"/>
    </row>
    <row r="25" ht="16.5" spans="2:12">
      <c r="B25" s="83" t="s">
        <v>47</v>
      </c>
      <c r="C25" s="96">
        <f>C21+填充重量</f>
        <v>1800</v>
      </c>
      <c r="D25" s="91"/>
      <c r="E25" s="99" t="s">
        <v>48</v>
      </c>
      <c r="F25" s="87">
        <v>145</v>
      </c>
      <c r="G25" s="88" t="s">
        <v>31</v>
      </c>
      <c r="L25" s="57"/>
    </row>
    <row r="26" ht="18" customHeight="1" spans="2:12">
      <c r="B26" s="100" t="s">
        <v>49</v>
      </c>
      <c r="C26" s="101">
        <f>浇注重量/液体密度</f>
        <v>705.882352941176</v>
      </c>
      <c r="D26" s="91"/>
      <c r="E26" s="86" t="s">
        <v>50</v>
      </c>
      <c r="F26" s="87">
        <v>350</v>
      </c>
      <c r="G26" s="88" t="s">
        <v>23</v>
      </c>
      <c r="H26" s="102"/>
      <c r="I26" s="103"/>
      <c r="J26" s="88"/>
      <c r="L26" s="57"/>
    </row>
    <row r="27" ht="16.5" spans="2:12">
      <c r="B27" s="83" t="s">
        <v>51</v>
      </c>
      <c r="C27" s="93">
        <v>3</v>
      </c>
      <c r="D27" s="91"/>
      <c r="E27" s="86" t="s">
        <v>52</v>
      </c>
      <c r="F27" s="98">
        <f>PI()*POWER(名义冲头直径,2)/4/100</f>
        <v>38.484510006475</v>
      </c>
      <c r="G27" s="88" t="s">
        <v>53</v>
      </c>
      <c r="H27" s="102"/>
      <c r="I27" s="103"/>
      <c r="J27" s="88"/>
      <c r="L27" s="57"/>
    </row>
    <row r="28" ht="16.5" spans="2:12">
      <c r="B28" s="83" t="s">
        <v>54</v>
      </c>
      <c r="C28" s="93">
        <v>2</v>
      </c>
      <c r="D28" s="91"/>
      <c r="E28" s="104" t="s">
        <v>55</v>
      </c>
      <c r="F28" s="105">
        <f>PI()*POWER(压射缸直径,2)/4/100</f>
        <v>103.868907109313</v>
      </c>
      <c r="G28" s="88" t="s">
        <v>53</v>
      </c>
      <c r="H28" s="102"/>
      <c r="I28" s="103"/>
      <c r="J28" s="88"/>
      <c r="L28" s="57"/>
    </row>
    <row r="29" ht="16.5" spans="2:12">
      <c r="B29" s="83" t="s">
        <v>56</v>
      </c>
      <c r="C29" s="93">
        <v>660</v>
      </c>
      <c r="D29" s="91"/>
      <c r="E29" s="106" t="s">
        <v>57</v>
      </c>
      <c r="F29" s="107">
        <f>(C25/I20/0.25/3.14/F26/10/25)^0.5*1000</f>
        <v>101.374169066038</v>
      </c>
      <c r="G29" s="108" t="s">
        <v>23</v>
      </c>
      <c r="H29" s="109" t="s">
        <v>58</v>
      </c>
      <c r="I29" s="110">
        <f>F28*F21/F29/F29/4/3.14*1000</f>
        <v>120.707030722736</v>
      </c>
      <c r="J29" s="88" t="s">
        <v>25</v>
      </c>
      <c r="L29" s="57"/>
    </row>
    <row r="30" ht="41" customHeight="1" spans="2:12">
      <c r="B30" s="111" t="s">
        <v>59</v>
      </c>
      <c r="C30" s="112">
        <v>80</v>
      </c>
      <c r="D30" s="113"/>
      <c r="E30" s="114" t="s">
        <v>60</v>
      </c>
      <c r="F30" s="115">
        <f>(C25/I20/0.25/3.14/F26/10/55)^0.5*1000</f>
        <v>68.3464508416484</v>
      </c>
      <c r="G30" s="116" t="s">
        <v>23</v>
      </c>
      <c r="H30" s="109" t="s">
        <v>61</v>
      </c>
      <c r="I30" s="102">
        <f>F28*F21/F30/F30/4/3.14*1000</f>
        <v>265.55546759002</v>
      </c>
      <c r="J30" s="88" t="s">
        <v>25</v>
      </c>
      <c r="L30" s="57"/>
    </row>
    <row r="31" spans="2:12">
      <c r="B31" s="117"/>
      <c r="C31" s="118"/>
      <c r="D31" s="119"/>
      <c r="E31" s="120" t="s">
        <v>62</v>
      </c>
      <c r="F31" s="121">
        <v>70</v>
      </c>
      <c r="G31" s="122" t="s">
        <v>23</v>
      </c>
      <c r="H31" s="123"/>
      <c r="I31" s="110"/>
      <c r="J31" s="88"/>
      <c r="L31" s="57"/>
    </row>
    <row r="32" ht="16.5" spans="2:12">
      <c r="B32" s="124" t="s">
        <v>63</v>
      </c>
      <c r="C32" s="125"/>
      <c r="D32" s="126"/>
      <c r="E32" s="127" t="s">
        <v>64</v>
      </c>
      <c r="F32" s="128">
        <f>PI()*POWER(设定冲头直径,2)/4/100</f>
        <v>38.484510006475</v>
      </c>
      <c r="G32" s="88" t="s">
        <v>53</v>
      </c>
      <c r="H32" s="129"/>
      <c r="I32" s="130"/>
      <c r="J32" s="88"/>
      <c r="L32" s="57"/>
    </row>
    <row r="33" ht="16.5" spans="2:12">
      <c r="B33" s="131" t="s">
        <v>65</v>
      </c>
      <c r="C33" s="94">
        <f>0.0268*POWER(填充体积,0.745)*100</f>
        <v>262.574403715227</v>
      </c>
      <c r="D33" s="88" t="s">
        <v>66</v>
      </c>
      <c r="E33" s="83" t="s">
        <v>67</v>
      </c>
      <c r="F33" s="132">
        <v>140</v>
      </c>
      <c r="G33" s="88" t="s">
        <v>31</v>
      </c>
      <c r="H33" s="123"/>
      <c r="I33" s="130"/>
      <c r="J33" s="88"/>
      <c r="L33" s="57"/>
    </row>
    <row r="34" ht="16.5" spans="2:12">
      <c r="B34" s="133" t="s">
        <v>68</v>
      </c>
      <c r="C34" s="90">
        <v>220</v>
      </c>
      <c r="D34" s="134" t="s">
        <v>33</v>
      </c>
      <c r="E34" s="83" t="s">
        <v>69</v>
      </c>
      <c r="F34" s="94">
        <f>压射活塞面积/设定冲头面积*设定快压蓄能器压力</f>
        <v>377.857142857143</v>
      </c>
      <c r="G34" s="88" t="s">
        <v>31</v>
      </c>
      <c r="H34" s="123"/>
      <c r="I34" s="130"/>
      <c r="J34" s="88"/>
      <c r="L34" s="57"/>
    </row>
    <row r="35" ht="16.5" spans="2:12">
      <c r="B35" s="135" t="s">
        <v>70</v>
      </c>
      <c r="C35" s="87">
        <v>1.8</v>
      </c>
      <c r="D35" s="88" t="s">
        <v>23</v>
      </c>
      <c r="E35" s="136" t="s">
        <v>71</v>
      </c>
      <c r="F35" s="98">
        <f>设定冲头面积/压射活塞面积*所需增压比压*9.816</f>
        <v>290.954404536862</v>
      </c>
      <c r="G35" s="88" t="s">
        <v>31</v>
      </c>
      <c r="H35" s="123"/>
      <c r="I35" s="110"/>
      <c r="J35" s="88"/>
      <c r="L35" s="57"/>
    </row>
    <row r="36" spans="2:12">
      <c r="B36" s="135" t="s">
        <v>72</v>
      </c>
      <c r="C36" s="87">
        <v>130</v>
      </c>
      <c r="D36" s="88" t="s">
        <v>23</v>
      </c>
      <c r="E36" s="83" t="s">
        <v>73</v>
      </c>
      <c r="F36" s="98">
        <f>浇注体积/(设定冲头面积*压室长度)*1000</f>
        <v>52.4056749676623</v>
      </c>
      <c r="G36" s="88" t="s">
        <v>74</v>
      </c>
      <c r="H36" s="123"/>
      <c r="I36" s="110"/>
      <c r="J36" s="88"/>
      <c r="L36" s="57"/>
    </row>
    <row r="37" ht="32.1" customHeight="1" spans="2:12">
      <c r="B37" s="137" t="s">
        <v>75</v>
      </c>
      <c r="C37" s="87">
        <v>0</v>
      </c>
      <c r="D37" s="138" t="s">
        <v>76</v>
      </c>
      <c r="E37" s="139" t="s">
        <v>77</v>
      </c>
      <c r="F37" s="140">
        <f>填充体积/设定冲头面积*10+10</f>
        <v>132.279908257879</v>
      </c>
      <c r="G37" s="141" t="s">
        <v>23</v>
      </c>
      <c r="H37" s="123"/>
      <c r="I37" s="110"/>
      <c r="J37" s="88"/>
      <c r="L37" s="57"/>
    </row>
    <row r="38" ht="16.5" spans="2:12">
      <c r="B38" s="135" t="s">
        <v>78</v>
      </c>
      <c r="C38" s="142">
        <f>浇口厚度*浇口宽度_单腔*型腔数量</f>
        <v>234</v>
      </c>
      <c r="D38" s="88" t="s">
        <v>66</v>
      </c>
      <c r="E38" s="143" t="s">
        <v>79</v>
      </c>
      <c r="F38" s="142">
        <f>F26-F37-设定冲头直径*0.3</f>
        <v>196.720091742121</v>
      </c>
      <c r="G38" s="88" t="s">
        <v>23</v>
      </c>
      <c r="H38" s="123"/>
      <c r="I38" s="110"/>
      <c r="J38" s="88"/>
      <c r="L38" s="57"/>
    </row>
    <row r="39" ht="25.5" spans="2:12">
      <c r="B39" s="135" t="s">
        <v>80</v>
      </c>
      <c r="C39" s="144">
        <f>浇口面积_实际*COS(流动角*PI()/180)</f>
        <v>234</v>
      </c>
      <c r="D39" s="88" t="s">
        <v>66</v>
      </c>
      <c r="E39" s="145" t="s">
        <v>81</v>
      </c>
      <c r="F39" s="146">
        <f>POWER(9.8*设定冲头直径/1000,0.5)*(1.35+0.5*POWER(压室充满度/100,2)-1.85*压室充满度/100)</f>
        <v>0.428879017113599</v>
      </c>
      <c r="G39" s="88" t="s">
        <v>40</v>
      </c>
      <c r="H39" s="123"/>
      <c r="I39" s="110"/>
      <c r="J39" s="88"/>
      <c r="L39" s="57"/>
    </row>
    <row r="40" ht="16.5" spans="2:12">
      <c r="B40" s="147" t="s">
        <v>82</v>
      </c>
      <c r="C40" s="105">
        <f>浇口厚度*浇口宽度_单腔/(浇口厚度+浇口宽度_单腔)</f>
        <v>1.77541729893778</v>
      </c>
      <c r="D40" s="148"/>
      <c r="E40" s="143" t="s">
        <v>83</v>
      </c>
      <c r="F40" s="98">
        <f>9.8*设定冲头直径/压室长度*(1+压室充满度/100)/(1-压室充满度/100)*POWER(0.96+0.35*POWER(压室充满度/100,2)-1.31*压室充满度/100,2)</f>
        <v>0.857402882492146</v>
      </c>
      <c r="G40" s="88" t="s">
        <v>84</v>
      </c>
      <c r="H40" s="102"/>
      <c r="I40" s="103"/>
      <c r="J40" s="88"/>
      <c r="L40" s="57"/>
    </row>
    <row r="41" ht="41.1" customHeight="1" spans="2:12">
      <c r="B41" s="137" t="s">
        <v>85</v>
      </c>
      <c r="C41" s="98">
        <f>550*C39/F32*C56^0.5/1000</f>
        <v>9.38707620189597</v>
      </c>
      <c r="D41" s="88" t="s">
        <v>40</v>
      </c>
      <c r="E41" s="149" t="s">
        <v>86</v>
      </c>
      <c r="F41" s="150">
        <f>0.7*(F31/100)^0.5/F36*10</f>
        <v>0.11175545757883</v>
      </c>
      <c r="G41" s="88" t="s">
        <v>40</v>
      </c>
      <c r="H41" s="102"/>
      <c r="I41" s="103"/>
      <c r="J41" s="88"/>
      <c r="L41" s="57"/>
    </row>
    <row r="42" ht="15" spans="2:12">
      <c r="B42" s="151"/>
      <c r="C42" s="152"/>
      <c r="D42" s="153"/>
      <c r="E42" s="143" t="s">
        <v>87</v>
      </c>
      <c r="F42" s="98">
        <f>设定空压射冲头速度*设定冲头面积/10</f>
        <v>9.2948922232721</v>
      </c>
      <c r="G42" s="88" t="s">
        <v>46</v>
      </c>
      <c r="H42" s="102"/>
      <c r="I42" s="103"/>
      <c r="J42" s="88"/>
      <c r="L42" s="57"/>
    </row>
    <row r="43" ht="15.75" customHeight="1" spans="2:12">
      <c r="B43" s="154" t="s">
        <v>88</v>
      </c>
      <c r="C43" s="155"/>
      <c r="D43" s="156"/>
      <c r="E43" s="143" t="s">
        <v>89</v>
      </c>
      <c r="F43" s="98">
        <f>名义最大冲头速度*POWER(设定快压蓄能器压力/名义快压蓄能器压力,0.5)*设置压射速度/100</f>
        <v>2.41522945769824</v>
      </c>
      <c r="G43" s="88" t="s">
        <v>40</v>
      </c>
      <c r="H43" s="102"/>
      <c r="I43" s="103"/>
      <c r="J43" s="88"/>
      <c r="L43" s="57"/>
    </row>
    <row r="44" ht="32.1" customHeight="1" spans="2:12">
      <c r="B44" s="143" t="s">
        <v>90</v>
      </c>
      <c r="C44" s="157">
        <f>30+40/C27</f>
        <v>43.3333333333333</v>
      </c>
      <c r="D44" s="88" t="s">
        <v>40</v>
      </c>
      <c r="E44" s="158" t="s">
        <v>91</v>
      </c>
      <c r="F44" s="90">
        <v>50</v>
      </c>
      <c r="G44" s="88" t="s">
        <v>92</v>
      </c>
      <c r="H44" s="102"/>
      <c r="I44" s="103"/>
      <c r="J44" s="88"/>
      <c r="L44" s="57"/>
    </row>
    <row r="45" ht="15.75" customHeight="1" spans="2:12">
      <c r="B45" s="143" t="s">
        <v>93</v>
      </c>
      <c r="C45" s="157">
        <f>最大期望充型速度*0.6</f>
        <v>26</v>
      </c>
      <c r="D45" s="159" t="s">
        <v>40</v>
      </c>
      <c r="E45" s="158" t="s">
        <v>94</v>
      </c>
      <c r="F45" s="160">
        <f>F44*F23/100</f>
        <v>2.5</v>
      </c>
      <c r="G45" s="88" t="s">
        <v>40</v>
      </c>
      <c r="H45" s="102"/>
      <c r="I45" s="103"/>
      <c r="J45" s="88"/>
      <c r="L45" s="57"/>
    </row>
    <row r="46" spans="2:12">
      <c r="B46" s="143" t="s">
        <v>95</v>
      </c>
      <c r="C46" s="157">
        <f>C27*C27*10*3.5/4</f>
        <v>78.75</v>
      </c>
      <c r="D46" s="159" t="s">
        <v>96</v>
      </c>
      <c r="E46" s="161"/>
      <c r="F46" s="162"/>
      <c r="G46" s="161"/>
      <c r="H46" s="102"/>
      <c r="I46" s="103"/>
      <c r="J46" s="88"/>
      <c r="L46" s="57"/>
    </row>
    <row r="47" spans="2:12">
      <c r="B47" s="143" t="s">
        <v>97</v>
      </c>
      <c r="C47" s="157">
        <f>C28*C28*10*3.5/4</f>
        <v>35</v>
      </c>
      <c r="D47" s="159" t="s">
        <v>96</v>
      </c>
      <c r="E47" s="161"/>
      <c r="F47" s="162"/>
      <c r="G47" s="161"/>
      <c r="H47" s="102"/>
      <c r="I47" s="103"/>
      <c r="J47" s="88"/>
      <c r="L47" s="57"/>
    </row>
    <row r="48" ht="15" spans="2:12">
      <c r="B48" s="143" t="s">
        <v>98</v>
      </c>
      <c r="C48" s="157">
        <f>C46/3</f>
        <v>26.25</v>
      </c>
      <c r="D48" s="88" t="s">
        <v>96</v>
      </c>
      <c r="E48" s="163"/>
      <c r="F48" s="152"/>
      <c r="G48" s="153"/>
      <c r="H48" s="102"/>
      <c r="I48" s="103"/>
      <c r="J48" s="88"/>
      <c r="L48" s="57"/>
    </row>
    <row r="49" ht="15.95" customHeight="1" spans="2:24">
      <c r="B49" s="143" t="s">
        <v>99</v>
      </c>
      <c r="C49" s="164">
        <f>填充体积/最小期望充型时间</f>
        <v>17.9271708683473</v>
      </c>
      <c r="D49" s="88" t="s">
        <v>46</v>
      </c>
      <c r="E49" s="72"/>
      <c r="F49" s="72"/>
      <c r="G49" s="72"/>
      <c r="H49" s="72"/>
      <c r="I49" s="72"/>
      <c r="J49" s="73"/>
      <c r="L49" s="57"/>
    </row>
    <row r="50" ht="15.95" customHeight="1" spans="2:24">
      <c r="B50" s="143" t="s">
        <v>100</v>
      </c>
      <c r="C50" s="164">
        <f>填充体积/最大期望充型时间</f>
        <v>5.97572362278245</v>
      </c>
      <c r="D50" s="88" t="s">
        <v>46</v>
      </c>
      <c r="E50" s="72"/>
      <c r="F50" s="72"/>
      <c r="G50" s="72"/>
      <c r="H50" s="72"/>
      <c r="I50" s="72"/>
      <c r="J50" s="73"/>
      <c r="L50" s="57"/>
      <c r="M50" s="165"/>
      <c r="N50" s="166"/>
      <c r="O50" s="166"/>
    </row>
    <row r="51" ht="15.95" customHeight="1" spans="2:24">
      <c r="B51" s="143" t="s">
        <v>101</v>
      </c>
      <c r="C51" s="164">
        <f>液体密度*POWER(最大期望充型速度,2)/POWER(流量系数,2)/2000</f>
        <v>9.57666666666667</v>
      </c>
      <c r="D51" s="88" t="s">
        <v>102</v>
      </c>
      <c r="E51" s="72"/>
      <c r="F51" s="72"/>
      <c r="G51" s="72"/>
      <c r="H51" s="72"/>
      <c r="I51" s="72"/>
      <c r="J51" s="73"/>
      <c r="L51" s="57"/>
    </row>
    <row r="52" ht="15.95" customHeight="1" spans="2:24">
      <c r="B52" s="167" t="s">
        <v>103</v>
      </c>
      <c r="C52" s="168">
        <f>液体密度*POWER(最小期望充型速度,2)/POWER(流量系数,2)/2000</f>
        <v>3.4476</v>
      </c>
      <c r="D52" s="153" t="s">
        <v>102</v>
      </c>
      <c r="E52" s="72"/>
      <c r="F52" s="72"/>
      <c r="G52" s="72"/>
      <c r="H52" s="72"/>
      <c r="I52" s="72"/>
      <c r="J52" s="73"/>
      <c r="L52" s="57"/>
    </row>
    <row r="53" ht="15.95" customHeight="1" spans="2:24">
      <c r="B53" s="169" t="s">
        <v>104</v>
      </c>
      <c r="C53" s="170">
        <f>工作点充型流量/浇口面积_有效*1000</f>
        <v>39.3054406803673</v>
      </c>
      <c r="D53" s="119" t="s">
        <v>40</v>
      </c>
      <c r="E53" s="72"/>
      <c r="F53" s="72"/>
      <c r="G53" s="72"/>
      <c r="H53" s="72"/>
      <c r="I53" s="72"/>
      <c r="J53" s="73"/>
      <c r="L53" s="57"/>
      <c r="M53" s="171"/>
      <c r="N53" s="172" t="s">
        <v>105</v>
      </c>
      <c r="O53" s="172"/>
      <c r="P53" s="172"/>
      <c r="Q53" s="172"/>
      <c r="R53" s="172"/>
      <c r="S53" s="172"/>
      <c r="T53" s="173"/>
      <c r="U53" s="173"/>
      <c r="V53" s="174"/>
      <c r="W53" s="174"/>
      <c r="X53" s="69"/>
    </row>
    <row r="54" ht="15.95" customHeight="1" spans="2:24">
      <c r="B54" s="175" t="s">
        <v>106</v>
      </c>
      <c r="C54" s="164">
        <f>填充重量/液体密度/工作点充型流量</f>
        <v>51.1649481542323</v>
      </c>
      <c r="D54" s="88" t="s">
        <v>96</v>
      </c>
      <c r="E54" s="72"/>
      <c r="F54" s="72"/>
      <c r="G54" s="72"/>
      <c r="H54" s="72"/>
      <c r="I54" s="72"/>
      <c r="J54" s="73"/>
      <c r="L54" s="57"/>
      <c r="M54" s="172" t="s">
        <v>107</v>
      </c>
      <c r="N54" s="171" t="s">
        <v>108</v>
      </c>
      <c r="O54" s="171" t="s">
        <v>109</v>
      </c>
      <c r="P54" s="171" t="s">
        <v>110</v>
      </c>
      <c r="Q54" s="171" t="s">
        <v>111</v>
      </c>
      <c r="R54" s="171" t="s">
        <v>112</v>
      </c>
      <c r="S54" s="171" t="s">
        <v>113</v>
      </c>
      <c r="T54" s="176" t="s">
        <v>114</v>
      </c>
      <c r="U54" s="173" t="s">
        <v>115</v>
      </c>
      <c r="V54" s="177" t="s">
        <v>116</v>
      </c>
      <c r="W54" s="177" t="s">
        <v>117</v>
      </c>
      <c r="X54" s="69"/>
    </row>
    <row r="55" ht="15.95" customHeight="1" spans="2:24">
      <c r="B55" s="175" t="s">
        <v>118</v>
      </c>
      <c r="C55" s="164">
        <f>POWER(工作点充型压力/500/液体密度*POWER(流量系数*浇口面积_有效,2),0.5)</f>
        <v>9.19747311920595</v>
      </c>
      <c r="D55" s="88" t="s">
        <v>46</v>
      </c>
      <c r="E55" s="72"/>
      <c r="F55" s="72"/>
      <c r="G55" s="72"/>
      <c r="H55" s="72"/>
      <c r="I55" s="72"/>
      <c r="J55" s="73"/>
      <c r="L55" s="57"/>
      <c r="M55" s="173">
        <v>0</v>
      </c>
      <c r="N55" s="173">
        <f t="shared" ref="N55:N86" si="0">(-名义最大充型压力*POWER(M55,2)/POWER(名义最大充型流量,2)+名义最大充型压力)</f>
        <v>404.84693877551</v>
      </c>
      <c r="O55" s="173">
        <f t="shared" ref="O55:O86" si="1">(-设定最大充型压力*POWER(M55,2)/POWER(设定空压射充型流量,2)+设定最大充型压力)</f>
        <v>377.857142857143</v>
      </c>
      <c r="P55" s="173">
        <f t="shared" ref="P55:P86" si="2">最大期望充型压力</f>
        <v>9.57666666666667</v>
      </c>
      <c r="Q55" s="173">
        <f t="shared" ref="Q55:Q86" si="3">最小期望充型压力</f>
        <v>3.4476</v>
      </c>
      <c r="R55" s="173">
        <f t="shared" ref="R55:R86" si="4">最大期望填充流量</f>
        <v>17.9271708683473</v>
      </c>
      <c r="S55" s="173">
        <f t="shared" ref="S55:S86" si="5">最小期望填充流量</f>
        <v>5.97572362278245</v>
      </c>
      <c r="T55" s="173">
        <v>0</v>
      </c>
      <c r="U55" s="173">
        <f t="shared" ref="U55:U86" si="6">POWER((T55/流量系数/浇口面积_实际),2)*液体密度/2*1000</f>
        <v>0</v>
      </c>
      <c r="V55" s="174">
        <v>0</v>
      </c>
      <c r="W55" s="174">
        <v>0</v>
      </c>
      <c r="X55" s="69"/>
    </row>
    <row r="56" ht="15.95" customHeight="1" spans="2:24">
      <c r="B56" s="175" t="s">
        <v>119</v>
      </c>
      <c r="C56" s="164">
        <f>设定最大充型压力/(1+(设定最大充型压力/(500*液体密度)*POWER(流量系数*浇口面积_有效/设定空压射充型流量,2)))</f>
        <v>7.87908010209716</v>
      </c>
      <c r="D56" s="88" t="s">
        <v>102</v>
      </c>
      <c r="E56" s="72"/>
      <c r="F56" s="72"/>
      <c r="G56" s="72"/>
      <c r="H56" s="72"/>
      <c r="I56" s="72"/>
      <c r="J56" s="73"/>
      <c r="L56" s="57"/>
      <c r="M56" s="173">
        <f t="shared" ref="M56:M87" si="7">M55+MAX(名义最大充型流量,设定空压射充型流量)/50</f>
        <v>0.38484510006475</v>
      </c>
      <c r="N56" s="173">
        <f t="shared" si="0"/>
        <v>404.685</v>
      </c>
      <c r="O56" s="173">
        <f t="shared" si="1"/>
        <v>377.209387755102</v>
      </c>
      <c r="P56" s="173">
        <f t="shared" si="2"/>
        <v>9.57666666666667</v>
      </c>
      <c r="Q56" s="173">
        <f t="shared" si="3"/>
        <v>3.4476</v>
      </c>
      <c r="R56" s="173">
        <f t="shared" si="4"/>
        <v>17.9271708683473</v>
      </c>
      <c r="S56" s="173">
        <f t="shared" si="5"/>
        <v>5.97572362278245</v>
      </c>
      <c r="T56" s="173">
        <f t="shared" ref="T56:T87" si="8">T55+POWER(2*MAX(名义最大充型压力,设定最大充型压力)*POWER(流量系数*浇口面积_有效,2)/1000/液体密度,0.5)/50</f>
        <v>1.31857912176712</v>
      </c>
      <c r="U56" s="173">
        <f t="shared" si="6"/>
        <v>0.161938775510204</v>
      </c>
      <c r="V56" s="174">
        <f t="shared" ref="V56:V87" si="9">V55+最大期望填充流量/40</f>
        <v>0.448179271708683</v>
      </c>
      <c r="W56" s="174">
        <f t="shared" ref="W56:W87" si="10">W55+最大期望充型压力/40</f>
        <v>0.239416666666667</v>
      </c>
      <c r="X56" s="69"/>
    </row>
    <row r="57" ht="15.95" customHeight="1" spans="2:24">
      <c r="B57" s="175" t="s">
        <v>120</v>
      </c>
      <c r="C57" s="164">
        <f>浇口面积_有效/设定冲头面积/100*工作点充型速度</f>
        <v>2.38991560959422</v>
      </c>
      <c r="D57" s="88" t="s">
        <v>40</v>
      </c>
      <c r="E57" s="72"/>
      <c r="F57" s="72"/>
      <c r="G57" s="72"/>
      <c r="H57" s="72"/>
      <c r="I57" s="72"/>
      <c r="J57" s="73"/>
      <c r="L57" s="57"/>
      <c r="M57" s="173">
        <f t="shared" si="7"/>
        <v>0.769690200129499</v>
      </c>
      <c r="N57" s="173">
        <f t="shared" si="0"/>
        <v>404.199183673469</v>
      </c>
      <c r="O57" s="173">
        <f t="shared" si="1"/>
        <v>375.26612244898</v>
      </c>
      <c r="P57" s="173">
        <f t="shared" si="2"/>
        <v>9.57666666666667</v>
      </c>
      <c r="Q57" s="173">
        <f t="shared" si="3"/>
        <v>3.4476</v>
      </c>
      <c r="R57" s="173">
        <f t="shared" si="4"/>
        <v>17.9271708683473</v>
      </c>
      <c r="S57" s="173">
        <f t="shared" si="5"/>
        <v>5.97572362278245</v>
      </c>
      <c r="T57" s="173">
        <f t="shared" si="8"/>
        <v>2.63715824353424</v>
      </c>
      <c r="U57" s="173">
        <f t="shared" si="6"/>
        <v>0.647755102040817</v>
      </c>
      <c r="V57" s="174">
        <f t="shared" si="9"/>
        <v>0.896358543417367</v>
      </c>
      <c r="W57" s="174">
        <f t="shared" si="10"/>
        <v>0.478833333333333</v>
      </c>
      <c r="X57" s="69"/>
    </row>
    <row r="58" ht="15.95" customHeight="1" spans="2:24">
      <c r="B58" s="178"/>
      <c r="C58" s="179"/>
      <c r="D58" s="180"/>
      <c r="E58" s="72"/>
      <c r="F58" s="72"/>
      <c r="G58" s="72"/>
      <c r="H58" s="72"/>
      <c r="I58" s="72"/>
      <c r="J58" s="73"/>
      <c r="L58" s="57"/>
      <c r="M58" s="173">
        <f t="shared" si="7"/>
        <v>1.15453530019425</v>
      </c>
      <c r="N58" s="173">
        <f t="shared" si="0"/>
        <v>403.389489795918</v>
      </c>
      <c r="O58" s="173">
        <f t="shared" si="1"/>
        <v>372.027346938776</v>
      </c>
      <c r="P58" s="173">
        <f t="shared" si="2"/>
        <v>9.57666666666667</v>
      </c>
      <c r="Q58" s="173">
        <f t="shared" si="3"/>
        <v>3.4476</v>
      </c>
      <c r="R58" s="173">
        <f t="shared" si="4"/>
        <v>17.9271708683473</v>
      </c>
      <c r="S58" s="173">
        <f t="shared" si="5"/>
        <v>5.97572362278245</v>
      </c>
      <c r="T58" s="173">
        <f t="shared" si="8"/>
        <v>3.95573736530135</v>
      </c>
      <c r="U58" s="173">
        <f t="shared" si="6"/>
        <v>1.45744897959184</v>
      </c>
      <c r="V58" s="174">
        <f t="shared" si="9"/>
        <v>1.34453781512605</v>
      </c>
      <c r="W58" s="174">
        <f t="shared" si="10"/>
        <v>0.71825</v>
      </c>
      <c r="X58" s="69"/>
    </row>
    <row r="59" ht="15.95" customHeight="1" spans="2:24">
      <c r="B59" s="181" t="s">
        <v>121</v>
      </c>
      <c r="C59" s="182" t="s">
        <v>122</v>
      </c>
      <c r="D59" s="183">
        <v>200</v>
      </c>
      <c r="E59" s="72"/>
      <c r="F59" s="72"/>
      <c r="G59" s="72"/>
      <c r="H59" s="72"/>
      <c r="I59" s="72"/>
      <c r="J59" s="73"/>
      <c r="L59" s="57"/>
      <c r="M59" s="173">
        <f t="shared" si="7"/>
        <v>1.539380400259</v>
      </c>
      <c r="N59" s="173">
        <f t="shared" si="0"/>
        <v>402.255918367347</v>
      </c>
      <c r="O59" s="173">
        <f t="shared" si="1"/>
        <v>367.49306122449</v>
      </c>
      <c r="P59" s="173">
        <f t="shared" si="2"/>
        <v>9.57666666666667</v>
      </c>
      <c r="Q59" s="173">
        <f t="shared" si="3"/>
        <v>3.4476</v>
      </c>
      <c r="R59" s="173">
        <f t="shared" si="4"/>
        <v>17.9271708683473</v>
      </c>
      <c r="S59" s="173">
        <f t="shared" si="5"/>
        <v>5.97572362278245</v>
      </c>
      <c r="T59" s="173">
        <f t="shared" si="8"/>
        <v>5.27431648706847</v>
      </c>
      <c r="U59" s="173">
        <f t="shared" si="6"/>
        <v>2.59102040816327</v>
      </c>
      <c r="V59" s="174">
        <f t="shared" si="9"/>
        <v>1.79271708683473</v>
      </c>
      <c r="W59" s="174">
        <f t="shared" si="10"/>
        <v>0.957666666666667</v>
      </c>
      <c r="X59" s="69"/>
    </row>
    <row r="60" ht="15.95" customHeight="1" spans="2:24">
      <c r="B60" s="184"/>
      <c r="C60" s="185" t="s">
        <v>123</v>
      </c>
      <c r="D60" s="186">
        <v>80</v>
      </c>
      <c r="E60" s="72"/>
      <c r="F60" s="72"/>
      <c r="G60" s="72"/>
      <c r="H60" s="72"/>
      <c r="I60" s="72"/>
      <c r="J60" s="73"/>
      <c r="L60" s="57"/>
      <c r="M60" s="173">
        <f t="shared" si="7"/>
        <v>1.92422550032375</v>
      </c>
      <c r="N60" s="173">
        <f t="shared" si="0"/>
        <v>400.798469387755</v>
      </c>
      <c r="O60" s="173">
        <f t="shared" si="1"/>
        <v>361.663265306122</v>
      </c>
      <c r="P60" s="173">
        <f t="shared" si="2"/>
        <v>9.57666666666667</v>
      </c>
      <c r="Q60" s="173">
        <f t="shared" si="3"/>
        <v>3.4476</v>
      </c>
      <c r="R60" s="173">
        <f t="shared" si="4"/>
        <v>17.9271708683473</v>
      </c>
      <c r="S60" s="173">
        <f t="shared" si="5"/>
        <v>5.97572362278245</v>
      </c>
      <c r="T60" s="173">
        <f t="shared" si="8"/>
        <v>6.59289560883559</v>
      </c>
      <c r="U60" s="173">
        <f t="shared" si="6"/>
        <v>4.0484693877551</v>
      </c>
      <c r="V60" s="174">
        <f t="shared" si="9"/>
        <v>2.24089635854342</v>
      </c>
      <c r="W60" s="174">
        <f t="shared" si="10"/>
        <v>1.19708333333333</v>
      </c>
      <c r="X60" s="69"/>
    </row>
    <row r="61" ht="15.95" customHeight="1" spans="2:24">
      <c r="B61" s="184"/>
      <c r="C61" s="185" t="s">
        <v>124</v>
      </c>
      <c r="D61" s="186">
        <v>30</v>
      </c>
      <c r="E61" s="72"/>
      <c r="F61" s="72"/>
      <c r="G61" s="72"/>
      <c r="H61" s="72"/>
      <c r="I61" s="72"/>
      <c r="J61" s="73"/>
      <c r="L61" s="57"/>
      <c r="M61" s="173">
        <f t="shared" si="7"/>
        <v>2.3090706003885</v>
      </c>
      <c r="N61" s="173">
        <f t="shared" si="0"/>
        <v>399.017142857143</v>
      </c>
      <c r="O61" s="173">
        <f t="shared" si="1"/>
        <v>354.537959183673</v>
      </c>
      <c r="P61" s="173">
        <f t="shared" si="2"/>
        <v>9.57666666666667</v>
      </c>
      <c r="Q61" s="173">
        <f t="shared" si="3"/>
        <v>3.4476</v>
      </c>
      <c r="R61" s="173">
        <f t="shared" si="4"/>
        <v>17.9271708683473</v>
      </c>
      <c r="S61" s="173">
        <f t="shared" si="5"/>
        <v>5.97572362278245</v>
      </c>
      <c r="T61" s="173">
        <f t="shared" si="8"/>
        <v>7.91147473060271</v>
      </c>
      <c r="U61" s="173">
        <f t="shared" si="6"/>
        <v>5.82979591836735</v>
      </c>
      <c r="V61" s="174">
        <f t="shared" si="9"/>
        <v>2.6890756302521</v>
      </c>
      <c r="W61" s="174">
        <f t="shared" si="10"/>
        <v>1.4365</v>
      </c>
      <c r="X61" s="69"/>
    </row>
    <row r="62" ht="15.95" customHeight="1" spans="2:24">
      <c r="B62" s="184"/>
      <c r="C62" s="185" t="s">
        <v>125</v>
      </c>
      <c r="D62" s="186">
        <v>20</v>
      </c>
      <c r="E62" s="72"/>
      <c r="F62" s="72"/>
      <c r="G62" s="72"/>
      <c r="H62" s="72"/>
      <c r="I62" s="72"/>
      <c r="J62" s="73"/>
      <c r="L62" s="57"/>
      <c r="M62" s="173">
        <f t="shared" si="7"/>
        <v>2.69391570045325</v>
      </c>
      <c r="N62" s="173">
        <f t="shared" si="0"/>
        <v>396.91193877551</v>
      </c>
      <c r="O62" s="173">
        <f t="shared" si="1"/>
        <v>346.117142857143</v>
      </c>
      <c r="P62" s="173">
        <f t="shared" si="2"/>
        <v>9.57666666666667</v>
      </c>
      <c r="Q62" s="173">
        <f t="shared" si="3"/>
        <v>3.4476</v>
      </c>
      <c r="R62" s="173">
        <f t="shared" si="4"/>
        <v>17.9271708683473</v>
      </c>
      <c r="S62" s="173">
        <f t="shared" si="5"/>
        <v>5.97572362278245</v>
      </c>
      <c r="T62" s="173">
        <f t="shared" si="8"/>
        <v>9.23005385236983</v>
      </c>
      <c r="U62" s="173">
        <f t="shared" si="6"/>
        <v>7.935</v>
      </c>
      <c r="V62" s="174">
        <f t="shared" si="9"/>
        <v>3.13725490196078</v>
      </c>
      <c r="W62" s="174">
        <f t="shared" si="10"/>
        <v>1.67591666666667</v>
      </c>
      <c r="X62" s="69"/>
    </row>
    <row r="63" ht="15.95" customHeight="1" spans="2:24">
      <c r="B63" s="184"/>
      <c r="C63" s="185" t="s">
        <v>126</v>
      </c>
      <c r="D63" s="186">
        <v>0</v>
      </c>
      <c r="E63" s="72"/>
      <c r="F63" s="72"/>
      <c r="G63" s="72"/>
      <c r="H63" s="72"/>
      <c r="I63" s="72"/>
      <c r="J63" s="73"/>
      <c r="L63" s="57"/>
      <c r="M63" s="173">
        <f t="shared" si="7"/>
        <v>3.078760800518</v>
      </c>
      <c r="N63" s="173">
        <f t="shared" si="0"/>
        <v>394.482857142857</v>
      </c>
      <c r="O63" s="173">
        <f t="shared" si="1"/>
        <v>336.400816326531</v>
      </c>
      <c r="P63" s="173">
        <f t="shared" si="2"/>
        <v>9.57666666666667</v>
      </c>
      <c r="Q63" s="173">
        <f t="shared" si="3"/>
        <v>3.4476</v>
      </c>
      <c r="R63" s="173">
        <f t="shared" si="4"/>
        <v>17.9271708683473</v>
      </c>
      <c r="S63" s="173">
        <f t="shared" si="5"/>
        <v>5.97572362278245</v>
      </c>
      <c r="T63" s="173">
        <f t="shared" si="8"/>
        <v>10.5486329741369</v>
      </c>
      <c r="U63" s="173">
        <f t="shared" si="6"/>
        <v>10.3640816326531</v>
      </c>
      <c r="V63" s="174">
        <f t="shared" si="9"/>
        <v>3.58543417366947</v>
      </c>
      <c r="W63" s="174">
        <f t="shared" si="10"/>
        <v>1.91533333333333</v>
      </c>
      <c r="X63" s="69"/>
    </row>
    <row r="64" ht="15.95" customHeight="1" spans="2:24">
      <c r="B64" s="184"/>
      <c r="C64" s="185" t="s">
        <v>127</v>
      </c>
      <c r="D64" s="186">
        <v>0</v>
      </c>
      <c r="E64" s="72"/>
      <c r="F64" s="72"/>
      <c r="G64" s="72"/>
      <c r="H64" s="72"/>
      <c r="I64" s="72"/>
      <c r="J64" s="73"/>
      <c r="L64" s="57"/>
      <c r="M64" s="173">
        <f t="shared" si="7"/>
        <v>3.46360590058275</v>
      </c>
      <c r="N64" s="173">
        <f t="shared" si="0"/>
        <v>391.729897959184</v>
      </c>
      <c r="O64" s="173">
        <f t="shared" si="1"/>
        <v>325.388979591837</v>
      </c>
      <c r="P64" s="173">
        <f t="shared" si="2"/>
        <v>9.57666666666667</v>
      </c>
      <c r="Q64" s="173">
        <f t="shared" si="3"/>
        <v>3.4476</v>
      </c>
      <c r="R64" s="173">
        <f t="shared" si="4"/>
        <v>17.9271708683473</v>
      </c>
      <c r="S64" s="173">
        <f t="shared" si="5"/>
        <v>5.97572362278245</v>
      </c>
      <c r="T64" s="173">
        <f t="shared" si="8"/>
        <v>11.8672120959041</v>
      </c>
      <c r="U64" s="173">
        <f t="shared" si="6"/>
        <v>13.1170408163265</v>
      </c>
      <c r="V64" s="174">
        <f t="shared" si="9"/>
        <v>4.03361344537815</v>
      </c>
      <c r="W64" s="174">
        <f t="shared" si="10"/>
        <v>2.15475</v>
      </c>
      <c r="X64" s="69"/>
    </row>
    <row r="65" ht="15.95" customHeight="1" spans="2:24">
      <c r="B65" s="184"/>
      <c r="C65" s="185" t="s">
        <v>128</v>
      </c>
      <c r="D65" s="186">
        <v>0</v>
      </c>
      <c r="E65" s="72"/>
      <c r="F65" s="72"/>
      <c r="G65" s="72"/>
      <c r="H65" s="72"/>
      <c r="I65" s="72"/>
      <c r="J65" s="73"/>
      <c r="L65" s="57"/>
      <c r="M65" s="173">
        <f t="shared" si="7"/>
        <v>3.8484510006475</v>
      </c>
      <c r="N65" s="173">
        <f t="shared" si="0"/>
        <v>388.65306122449</v>
      </c>
      <c r="O65" s="173">
        <f t="shared" si="1"/>
        <v>313.081632653061</v>
      </c>
      <c r="P65" s="173">
        <f t="shared" si="2"/>
        <v>9.57666666666667</v>
      </c>
      <c r="Q65" s="173">
        <f t="shared" si="3"/>
        <v>3.4476</v>
      </c>
      <c r="R65" s="173">
        <f t="shared" si="4"/>
        <v>17.9271708683473</v>
      </c>
      <c r="S65" s="173">
        <f t="shared" si="5"/>
        <v>5.97572362278245</v>
      </c>
      <c r="T65" s="173">
        <f t="shared" si="8"/>
        <v>13.1857912176712</v>
      </c>
      <c r="U65" s="173">
        <f t="shared" si="6"/>
        <v>16.1938775510204</v>
      </c>
      <c r="V65" s="174">
        <f t="shared" si="9"/>
        <v>4.48179271708684</v>
      </c>
      <c r="W65" s="174">
        <f t="shared" si="10"/>
        <v>2.39416666666667</v>
      </c>
      <c r="X65" s="69"/>
    </row>
    <row r="66" ht="24.95" customHeight="1" spans="2:24">
      <c r="B66" s="184"/>
      <c r="C66" s="185" t="s">
        <v>129</v>
      </c>
      <c r="D66" s="187">
        <f>D59+D60+(D61+D62+D63+D64+D65)/2</f>
        <v>305</v>
      </c>
      <c r="E66" s="72"/>
      <c r="F66" s="72"/>
      <c r="G66" s="72"/>
      <c r="H66" s="72"/>
      <c r="I66" s="72"/>
      <c r="J66" s="73"/>
      <c r="L66" s="57"/>
      <c r="M66" s="173">
        <f t="shared" si="7"/>
        <v>4.23329610071225</v>
      </c>
      <c r="N66" s="173">
        <f t="shared" si="0"/>
        <v>385.252346938776</v>
      </c>
      <c r="O66" s="173">
        <f t="shared" si="1"/>
        <v>299.478775510204</v>
      </c>
      <c r="P66" s="173">
        <f t="shared" si="2"/>
        <v>9.57666666666667</v>
      </c>
      <c r="Q66" s="173">
        <f t="shared" si="3"/>
        <v>3.4476</v>
      </c>
      <c r="R66" s="173">
        <f t="shared" si="4"/>
        <v>17.9271708683473</v>
      </c>
      <c r="S66" s="173">
        <f t="shared" si="5"/>
        <v>5.97572362278245</v>
      </c>
      <c r="T66" s="173">
        <f t="shared" si="8"/>
        <v>14.5043703394383</v>
      </c>
      <c r="U66" s="173">
        <f t="shared" si="6"/>
        <v>19.5945918367347</v>
      </c>
      <c r="V66" s="174">
        <f t="shared" si="9"/>
        <v>4.92997198879552</v>
      </c>
      <c r="W66" s="174">
        <f t="shared" si="10"/>
        <v>2.63358333333333</v>
      </c>
      <c r="X66" s="69"/>
    </row>
    <row r="67" ht="24.95" customHeight="1" spans="2:24">
      <c r="B67" s="184" t="s">
        <v>130</v>
      </c>
      <c r="C67" s="188" t="s">
        <v>131</v>
      </c>
      <c r="D67" s="189">
        <f>设定冲头面积/压射活塞面积*C30</f>
        <v>29.6408317580339</v>
      </c>
      <c r="E67" s="72" t="s">
        <v>12</v>
      </c>
      <c r="F67" s="72"/>
      <c r="G67" s="72"/>
      <c r="H67" s="72"/>
      <c r="I67" s="72"/>
      <c r="J67" s="73"/>
      <c r="L67" s="57"/>
      <c r="M67" s="173">
        <f t="shared" si="7"/>
        <v>4.618141200777</v>
      </c>
      <c r="N67" s="173">
        <f t="shared" si="0"/>
        <v>381.527755102041</v>
      </c>
      <c r="O67" s="173">
        <f t="shared" si="1"/>
        <v>284.580408163265</v>
      </c>
      <c r="P67" s="173">
        <f t="shared" si="2"/>
        <v>9.57666666666667</v>
      </c>
      <c r="Q67" s="173">
        <f t="shared" si="3"/>
        <v>3.4476</v>
      </c>
      <c r="R67" s="173">
        <f t="shared" si="4"/>
        <v>17.9271708683473</v>
      </c>
      <c r="S67" s="173">
        <f t="shared" si="5"/>
        <v>5.97572362278245</v>
      </c>
      <c r="T67" s="173">
        <f t="shared" si="8"/>
        <v>15.8229494612054</v>
      </c>
      <c r="U67" s="173">
        <f t="shared" si="6"/>
        <v>23.3191836734694</v>
      </c>
      <c r="V67" s="174">
        <f t="shared" si="9"/>
        <v>5.3781512605042</v>
      </c>
      <c r="W67" s="174">
        <f t="shared" si="10"/>
        <v>2.873</v>
      </c>
      <c r="X67" s="69"/>
    </row>
    <row r="68" ht="24.95" customHeight="1" spans="2:24">
      <c r="B68" s="190"/>
      <c r="C68" s="191" t="s">
        <v>132</v>
      </c>
      <c r="D68" s="192">
        <f>D66*所需增压比压*1.25/100</f>
        <v>305</v>
      </c>
      <c r="E68" s="72"/>
      <c r="F68" s="72"/>
      <c r="G68" s="72"/>
      <c r="H68" s="72"/>
      <c r="I68" s="72"/>
      <c r="J68" s="73"/>
      <c r="L68" s="57"/>
      <c r="M68" s="173">
        <f t="shared" si="7"/>
        <v>5.00298630084175</v>
      </c>
      <c r="N68" s="173">
        <f t="shared" si="0"/>
        <v>377.479285714286</v>
      </c>
      <c r="O68" s="173">
        <f t="shared" si="1"/>
        <v>268.386530612245</v>
      </c>
      <c r="P68" s="173">
        <f t="shared" si="2"/>
        <v>9.57666666666667</v>
      </c>
      <c r="Q68" s="173">
        <f t="shared" si="3"/>
        <v>3.4476</v>
      </c>
      <c r="R68" s="173">
        <f t="shared" si="4"/>
        <v>17.9271708683473</v>
      </c>
      <c r="S68" s="173">
        <f t="shared" si="5"/>
        <v>5.97572362278245</v>
      </c>
      <c r="T68" s="173">
        <f t="shared" si="8"/>
        <v>17.1415285829725</v>
      </c>
      <c r="U68" s="173">
        <f t="shared" si="6"/>
        <v>27.3676530612245</v>
      </c>
      <c r="V68" s="174">
        <f t="shared" si="9"/>
        <v>5.82633053221289</v>
      </c>
      <c r="W68" s="174">
        <f t="shared" si="10"/>
        <v>3.11241666666667</v>
      </c>
      <c r="X68" s="69"/>
    </row>
    <row r="69" ht="24.95" customHeight="1" spans="2:24">
      <c r="B69" s="193" t="s">
        <v>133</v>
      </c>
      <c r="C69" s="194"/>
      <c r="D69" s="195"/>
      <c r="E69" s="72"/>
      <c r="F69" s="72"/>
      <c r="G69" s="72"/>
      <c r="H69" s="72"/>
      <c r="I69" s="72"/>
      <c r="J69" s="73"/>
      <c r="L69" s="57"/>
      <c r="M69" s="173">
        <f t="shared" si="7"/>
        <v>5.38783140090649</v>
      </c>
      <c r="N69" s="173">
        <f t="shared" si="0"/>
        <v>373.10693877551</v>
      </c>
      <c r="O69" s="173">
        <f t="shared" si="1"/>
        <v>250.897142857143</v>
      </c>
      <c r="P69" s="173">
        <f t="shared" si="2"/>
        <v>9.57666666666667</v>
      </c>
      <c r="Q69" s="173">
        <f t="shared" si="3"/>
        <v>3.4476</v>
      </c>
      <c r="R69" s="173">
        <f t="shared" si="4"/>
        <v>17.9271708683473</v>
      </c>
      <c r="S69" s="173">
        <f t="shared" si="5"/>
        <v>5.97572362278245</v>
      </c>
      <c r="T69" s="173">
        <f t="shared" si="8"/>
        <v>18.4601077047397</v>
      </c>
      <c r="U69" s="173">
        <f t="shared" si="6"/>
        <v>31.74</v>
      </c>
      <c r="V69" s="174">
        <f t="shared" si="9"/>
        <v>6.27450980392157</v>
      </c>
      <c r="W69" s="174">
        <f t="shared" si="10"/>
        <v>3.35183333333333</v>
      </c>
      <c r="X69" s="69"/>
    </row>
    <row r="70" ht="24.95" customHeight="1" spans="2:24">
      <c r="B70" s="86" t="s">
        <v>134</v>
      </c>
      <c r="C70" s="196" t="str">
        <f>IF(OR(浇口面积_有效&lt;(最小期望填充流量/流量系数*POWER(液体密度/2/最大期望充型压力,0.5)),浇口面积_有效&gt;(最大期望填充流量/流量系数*POWER(液体密度/2/最小期望充型压力,0.5))),"YES","NO")</f>
        <v>YES</v>
      </c>
      <c r="D70" s="88" t="s">
        <v>135</v>
      </c>
      <c r="E70" s="72"/>
      <c r="F70" s="72"/>
      <c r="G70" s="72"/>
      <c r="H70" s="72"/>
      <c r="I70" s="72"/>
      <c r="J70" s="73"/>
      <c r="L70" s="57"/>
      <c r="M70" s="173">
        <f t="shared" si="7"/>
        <v>5.77267650097124</v>
      </c>
      <c r="N70" s="173">
        <f t="shared" si="0"/>
        <v>368.410714285714</v>
      </c>
      <c r="O70" s="173">
        <f t="shared" si="1"/>
        <v>232.112244897959</v>
      </c>
      <c r="P70" s="173">
        <f t="shared" si="2"/>
        <v>9.57666666666667</v>
      </c>
      <c r="Q70" s="173">
        <f t="shared" si="3"/>
        <v>3.4476</v>
      </c>
      <c r="R70" s="173">
        <f t="shared" si="4"/>
        <v>17.9271708683473</v>
      </c>
      <c r="S70" s="173">
        <f t="shared" si="5"/>
        <v>5.97572362278245</v>
      </c>
      <c r="T70" s="173">
        <f t="shared" si="8"/>
        <v>19.7786868265068</v>
      </c>
      <c r="U70" s="173">
        <f t="shared" si="6"/>
        <v>36.4362244897959</v>
      </c>
      <c r="V70" s="174">
        <f t="shared" si="9"/>
        <v>6.72268907563025</v>
      </c>
      <c r="W70" s="174">
        <f t="shared" si="10"/>
        <v>3.59125</v>
      </c>
      <c r="X70" s="69"/>
    </row>
    <row r="71" ht="24.95" customHeight="1" spans="2:24">
      <c r="B71" s="86" t="s">
        <v>136</v>
      </c>
      <c r="C71" s="164">
        <f>工作点充型压力*工作点充型流量</f>
        <v>72.4676274431091</v>
      </c>
      <c r="D71" s="88" t="s">
        <v>137</v>
      </c>
      <c r="E71" s="72"/>
      <c r="F71" s="72"/>
      <c r="G71" s="72"/>
      <c r="H71" s="72"/>
      <c r="I71" s="72"/>
      <c r="J71" s="73"/>
      <c r="L71" s="57"/>
      <c r="M71" s="173">
        <f t="shared" si="7"/>
        <v>6.15752160103599</v>
      </c>
      <c r="N71" s="173">
        <f t="shared" si="0"/>
        <v>363.390612244898</v>
      </c>
      <c r="O71" s="173">
        <f t="shared" si="1"/>
        <v>212.031836734694</v>
      </c>
      <c r="P71" s="173">
        <f t="shared" si="2"/>
        <v>9.57666666666667</v>
      </c>
      <c r="Q71" s="173">
        <f t="shared" si="3"/>
        <v>3.4476</v>
      </c>
      <c r="R71" s="173">
        <f t="shared" si="4"/>
        <v>17.9271708683473</v>
      </c>
      <c r="S71" s="173">
        <f t="shared" si="5"/>
        <v>5.97572362278245</v>
      </c>
      <c r="T71" s="173">
        <f t="shared" si="8"/>
        <v>21.0972659482739</v>
      </c>
      <c r="U71" s="173">
        <f t="shared" si="6"/>
        <v>41.4563265306123</v>
      </c>
      <c r="V71" s="174">
        <f t="shared" si="9"/>
        <v>7.17086834733894</v>
      </c>
      <c r="W71" s="174">
        <f t="shared" si="10"/>
        <v>3.83066666666667</v>
      </c>
      <c r="X71" s="69"/>
    </row>
    <row r="72" ht="24.95" customHeight="1" spans="2:24">
      <c r="B72" s="86" t="s">
        <v>138</v>
      </c>
      <c r="C72" s="164">
        <f>0.385*设定最大充型压力*设定空压射充型流量</f>
        <v>1352.17444618051</v>
      </c>
      <c r="D72" s="88" t="s">
        <v>137</v>
      </c>
      <c r="E72" s="72"/>
      <c r="F72" s="72"/>
      <c r="G72" s="72"/>
      <c r="H72" s="72"/>
      <c r="I72" s="72"/>
      <c r="J72" s="73"/>
      <c r="L72" s="57"/>
      <c r="M72" s="173">
        <f t="shared" si="7"/>
        <v>6.54236670110074</v>
      </c>
      <c r="N72" s="173">
        <f t="shared" si="0"/>
        <v>358.046632653061</v>
      </c>
      <c r="O72" s="173">
        <f t="shared" si="1"/>
        <v>190.655918367347</v>
      </c>
      <c r="P72" s="173">
        <f t="shared" si="2"/>
        <v>9.57666666666667</v>
      </c>
      <c r="Q72" s="173">
        <f t="shared" si="3"/>
        <v>3.4476</v>
      </c>
      <c r="R72" s="173">
        <f t="shared" si="4"/>
        <v>17.9271708683473</v>
      </c>
      <c r="S72" s="173">
        <f t="shared" si="5"/>
        <v>5.97572362278245</v>
      </c>
      <c r="T72" s="173">
        <f t="shared" si="8"/>
        <v>22.415845070041</v>
      </c>
      <c r="U72" s="173">
        <f t="shared" si="6"/>
        <v>46.800306122449</v>
      </c>
      <c r="V72" s="174">
        <f t="shared" si="9"/>
        <v>7.61904761904762</v>
      </c>
      <c r="W72" s="174">
        <f t="shared" si="10"/>
        <v>4.07008333333333</v>
      </c>
      <c r="X72" s="69"/>
    </row>
    <row r="73" ht="24.95" customHeight="1" spans="2:24">
      <c r="B73" s="86" t="s">
        <v>139</v>
      </c>
      <c r="C73" s="164">
        <f>压射功率/最大功率*100</f>
        <v>5.35934010939258</v>
      </c>
      <c r="D73" s="88" t="s">
        <v>74</v>
      </c>
      <c r="E73" s="6"/>
      <c r="F73" s="6"/>
      <c r="G73" s="6"/>
      <c r="H73" s="197"/>
      <c r="I73" s="6"/>
      <c r="J73" s="198"/>
      <c r="L73" s="57"/>
      <c r="M73" s="173">
        <f t="shared" si="7"/>
        <v>6.92721180116549</v>
      </c>
      <c r="N73" s="173">
        <f t="shared" si="0"/>
        <v>352.378775510204</v>
      </c>
      <c r="O73" s="173">
        <f t="shared" si="1"/>
        <v>167.984489795918</v>
      </c>
      <c r="P73" s="173">
        <f t="shared" si="2"/>
        <v>9.57666666666667</v>
      </c>
      <c r="Q73" s="173">
        <f t="shared" si="3"/>
        <v>3.4476</v>
      </c>
      <c r="R73" s="173">
        <f t="shared" si="4"/>
        <v>17.9271708683473</v>
      </c>
      <c r="S73" s="173">
        <f t="shared" si="5"/>
        <v>5.97572362278245</v>
      </c>
      <c r="T73" s="173">
        <f t="shared" si="8"/>
        <v>23.7344241918081</v>
      </c>
      <c r="U73" s="173">
        <f t="shared" si="6"/>
        <v>52.4681632653062</v>
      </c>
      <c r="V73" s="174">
        <f t="shared" si="9"/>
        <v>8.0672268907563</v>
      </c>
      <c r="W73" s="174">
        <f t="shared" si="10"/>
        <v>4.3095</v>
      </c>
      <c r="X73" s="69"/>
    </row>
    <row r="74" ht="24.95" customHeight="1" spans="2:24">
      <c r="B74" s="86" t="s">
        <v>140</v>
      </c>
      <c r="C74" s="98">
        <f>所需增压比压</f>
        <v>80</v>
      </c>
      <c r="D74" s="88" t="s">
        <v>102</v>
      </c>
      <c r="E74" s="199"/>
      <c r="F74" s="199"/>
      <c r="G74" s="199"/>
      <c r="H74" s="199"/>
      <c r="I74" s="199"/>
      <c r="J74" s="200"/>
      <c r="L74" s="57"/>
      <c r="M74" s="173">
        <f t="shared" si="7"/>
        <v>7.31205690123024</v>
      </c>
      <c r="N74" s="173">
        <f t="shared" si="0"/>
        <v>346.387040816327</v>
      </c>
      <c r="O74" s="173">
        <f t="shared" si="1"/>
        <v>144.017551020408</v>
      </c>
      <c r="P74" s="173">
        <f t="shared" si="2"/>
        <v>9.57666666666667</v>
      </c>
      <c r="Q74" s="173">
        <f t="shared" si="3"/>
        <v>3.4476</v>
      </c>
      <c r="R74" s="173">
        <f t="shared" si="4"/>
        <v>17.9271708683473</v>
      </c>
      <c r="S74" s="173">
        <f t="shared" si="5"/>
        <v>5.97572362278245</v>
      </c>
      <c r="T74" s="173">
        <f t="shared" si="8"/>
        <v>25.0530033135752</v>
      </c>
      <c r="U74" s="173">
        <f t="shared" si="6"/>
        <v>58.4598979591837</v>
      </c>
      <c r="V74" s="174">
        <f t="shared" si="9"/>
        <v>8.51540616246499</v>
      </c>
      <c r="W74" s="174">
        <f t="shared" si="10"/>
        <v>4.54891666666667</v>
      </c>
      <c r="X74" s="69"/>
    </row>
    <row r="75" ht="24.95" customHeight="1" spans="2:24">
      <c r="B75" s="97" t="s">
        <v>141</v>
      </c>
      <c r="C75" s="201">
        <f>压射活塞面积*名义最大充型压力/设定冲头面积</f>
        <v>1092.67362557268</v>
      </c>
      <c r="D75" s="88" t="s">
        <v>31</v>
      </c>
      <c r="E75" s="202"/>
      <c r="F75" s="202"/>
      <c r="G75" s="202"/>
      <c r="H75" s="202"/>
      <c r="I75" s="202"/>
      <c r="J75" s="203"/>
      <c r="L75" s="57"/>
      <c r="M75" s="173">
        <f t="shared" si="7"/>
        <v>7.69690200129499</v>
      </c>
      <c r="N75" s="173">
        <f t="shared" si="0"/>
        <v>340.071428571429</v>
      </c>
      <c r="O75" s="173">
        <f t="shared" si="1"/>
        <v>118.755102040816</v>
      </c>
      <c r="P75" s="173">
        <f t="shared" si="2"/>
        <v>9.57666666666667</v>
      </c>
      <c r="Q75" s="173">
        <f t="shared" si="3"/>
        <v>3.4476</v>
      </c>
      <c r="R75" s="173">
        <f t="shared" si="4"/>
        <v>17.9271708683473</v>
      </c>
      <c r="S75" s="173">
        <f t="shared" si="5"/>
        <v>5.97572362278245</v>
      </c>
      <c r="T75" s="173">
        <f t="shared" si="8"/>
        <v>26.3715824353424</v>
      </c>
      <c r="U75" s="173">
        <f t="shared" si="6"/>
        <v>64.7755102040817</v>
      </c>
      <c r="V75" s="174">
        <f t="shared" si="9"/>
        <v>8.96358543417367</v>
      </c>
      <c r="W75" s="174">
        <f t="shared" si="10"/>
        <v>4.78833333333333</v>
      </c>
      <c r="X75" s="69"/>
    </row>
    <row r="76" spans="2:24">
      <c r="B76" s="86" t="s">
        <v>142</v>
      </c>
      <c r="C76" s="204" t="str">
        <f>IF(C74&lt;C75,"YES","NO")</f>
        <v>YES</v>
      </c>
      <c r="D76" s="88" t="s">
        <v>135</v>
      </c>
      <c r="E76" s="205"/>
      <c r="F76" s="161"/>
      <c r="G76" s="161"/>
      <c r="H76" s="161"/>
      <c r="I76" s="161"/>
      <c r="J76" s="161"/>
      <c r="L76" s="57"/>
      <c r="M76" s="173">
        <f t="shared" si="7"/>
        <v>8.08174710135974</v>
      </c>
      <c r="N76" s="173">
        <f t="shared" si="0"/>
        <v>333.43193877551</v>
      </c>
      <c r="O76" s="173">
        <f t="shared" si="1"/>
        <v>92.1971428571429</v>
      </c>
      <c r="P76" s="173">
        <f t="shared" si="2"/>
        <v>9.57666666666667</v>
      </c>
      <c r="Q76" s="173">
        <f t="shared" si="3"/>
        <v>3.4476</v>
      </c>
      <c r="R76" s="173">
        <f t="shared" si="4"/>
        <v>17.9271708683473</v>
      </c>
      <c r="S76" s="173">
        <f t="shared" si="5"/>
        <v>5.97572362278245</v>
      </c>
      <c r="T76" s="173">
        <f t="shared" si="8"/>
        <v>27.6901615571095</v>
      </c>
      <c r="U76" s="173">
        <f t="shared" si="6"/>
        <v>71.415</v>
      </c>
      <c r="V76" s="174">
        <f t="shared" si="9"/>
        <v>9.41176470588236</v>
      </c>
      <c r="W76" s="174">
        <f t="shared" si="10"/>
        <v>5.02775</v>
      </c>
      <c r="X76" s="69"/>
    </row>
    <row r="77" spans="2:24">
      <c r="B77" s="86" t="s">
        <v>143</v>
      </c>
      <c r="C77" s="204" t="str">
        <f>IF(工作点充型流量&gt;最小期望填充流量,"YES","NO")</f>
        <v>YES</v>
      </c>
      <c r="D77" s="88" t="s">
        <v>135</v>
      </c>
      <c r="E77" s="205"/>
      <c r="F77" s="161"/>
      <c r="G77" s="161"/>
      <c r="H77" s="161"/>
      <c r="I77" s="161"/>
      <c r="J77" s="161"/>
      <c r="L77" s="57"/>
      <c r="M77" s="173">
        <f t="shared" si="7"/>
        <v>8.46659220142449</v>
      </c>
      <c r="N77" s="173">
        <f t="shared" si="0"/>
        <v>326.468571428571</v>
      </c>
      <c r="O77" s="173">
        <f t="shared" si="1"/>
        <v>64.3436734693878</v>
      </c>
      <c r="P77" s="173">
        <f t="shared" si="2"/>
        <v>9.57666666666667</v>
      </c>
      <c r="Q77" s="173">
        <f t="shared" si="3"/>
        <v>3.4476</v>
      </c>
      <c r="R77" s="173">
        <f t="shared" si="4"/>
        <v>17.9271708683473</v>
      </c>
      <c r="S77" s="173">
        <f t="shared" si="5"/>
        <v>5.97572362278245</v>
      </c>
      <c r="T77" s="173">
        <f t="shared" si="8"/>
        <v>29.0087406788766</v>
      </c>
      <c r="U77" s="173">
        <f t="shared" si="6"/>
        <v>78.3783673469388</v>
      </c>
      <c r="V77" s="174">
        <f t="shared" si="9"/>
        <v>9.85994397759104</v>
      </c>
      <c r="W77" s="174">
        <f t="shared" si="10"/>
        <v>5.26716666666667</v>
      </c>
      <c r="X77" s="69"/>
    </row>
    <row r="78" spans="2:24">
      <c r="B78" s="86" t="s">
        <v>144</v>
      </c>
      <c r="C78" s="204" t="str">
        <f>IF(工作点充型压力&gt;最小期望充型压力,"YES","NO")</f>
        <v>YES</v>
      </c>
      <c r="D78" s="88" t="s">
        <v>135</v>
      </c>
      <c r="E78" s="205"/>
      <c r="F78" s="161"/>
      <c r="G78" s="161"/>
      <c r="H78" s="161"/>
      <c r="I78" s="161"/>
      <c r="J78" s="161"/>
      <c r="L78" s="57"/>
      <c r="M78" s="173">
        <f t="shared" si="7"/>
        <v>8.85143730148924</v>
      </c>
      <c r="N78" s="173">
        <f t="shared" si="0"/>
        <v>319.181326530612</v>
      </c>
      <c r="O78" s="173">
        <f t="shared" si="1"/>
        <v>35.1946938775511</v>
      </c>
      <c r="P78" s="173">
        <f t="shared" si="2"/>
        <v>9.57666666666667</v>
      </c>
      <c r="Q78" s="173">
        <f t="shared" si="3"/>
        <v>3.4476</v>
      </c>
      <c r="R78" s="173">
        <f t="shared" si="4"/>
        <v>17.9271708683473</v>
      </c>
      <c r="S78" s="173">
        <f t="shared" si="5"/>
        <v>5.97572362278245</v>
      </c>
      <c r="T78" s="173">
        <f t="shared" si="8"/>
        <v>30.3273198006437</v>
      </c>
      <c r="U78" s="173">
        <f t="shared" si="6"/>
        <v>85.665612244898</v>
      </c>
      <c r="V78" s="174">
        <f t="shared" si="9"/>
        <v>10.3081232492997</v>
      </c>
      <c r="W78" s="174">
        <f t="shared" si="10"/>
        <v>5.50658333333334</v>
      </c>
      <c r="X78" s="69"/>
    </row>
    <row r="79" ht="15" spans="2:24">
      <c r="B79" s="206" t="s">
        <v>145</v>
      </c>
      <c r="C79" s="207" t="str">
        <f>IF(AND(AND(工作点充型速度&gt;最小期望充型速度,工作点充型速度&lt;最大期望充型速度),AND(工作点充型时间&gt;最小期望充型时间,工作点充型时间&lt;最大期望充型时间)),"YES","NO")</f>
        <v>YES</v>
      </c>
      <c r="D79" s="153" t="s">
        <v>135</v>
      </c>
      <c r="E79" s="205"/>
      <c r="F79" s="161"/>
      <c r="G79" s="161"/>
      <c r="H79" s="161"/>
      <c r="I79" s="161"/>
      <c r="J79" s="161"/>
      <c r="L79" s="57"/>
      <c r="M79" s="173">
        <f t="shared" si="7"/>
        <v>9.23628240155399</v>
      </c>
      <c r="N79" s="173">
        <f t="shared" si="0"/>
        <v>311.570204081633</v>
      </c>
      <c r="O79" s="173">
        <f t="shared" si="1"/>
        <v>4.75020408163266</v>
      </c>
      <c r="P79" s="173">
        <f t="shared" si="2"/>
        <v>9.57666666666667</v>
      </c>
      <c r="Q79" s="173">
        <f t="shared" si="3"/>
        <v>3.4476</v>
      </c>
      <c r="R79" s="173">
        <f t="shared" si="4"/>
        <v>17.9271708683473</v>
      </c>
      <c r="S79" s="173">
        <f t="shared" si="5"/>
        <v>5.97572362278245</v>
      </c>
      <c r="T79" s="173">
        <f t="shared" si="8"/>
        <v>31.6458989224108</v>
      </c>
      <c r="U79" s="173">
        <f t="shared" si="6"/>
        <v>93.2767346938776</v>
      </c>
      <c r="V79" s="174">
        <f t="shared" si="9"/>
        <v>10.7563025210084</v>
      </c>
      <c r="W79" s="174">
        <f t="shared" si="10"/>
        <v>5.746</v>
      </c>
      <c r="X79" s="69"/>
    </row>
    <row r="80" ht="15" spans="2:24">
      <c r="B80" s="208"/>
      <c r="C80" s="209"/>
      <c r="D80" s="209"/>
      <c r="E80" s="210"/>
      <c r="F80" s="210"/>
      <c r="G80" s="210"/>
      <c r="H80" s="210"/>
      <c r="I80" s="211"/>
      <c r="J80" s="212"/>
      <c r="L80" s="213"/>
      <c r="M80" s="173">
        <f t="shared" si="7"/>
        <v>9.62112750161874</v>
      </c>
      <c r="N80" s="173">
        <f t="shared" si="0"/>
        <v>303.635204081633</v>
      </c>
      <c r="O80" s="173">
        <f t="shared" si="1"/>
        <v>-26.9897959183673</v>
      </c>
      <c r="P80" s="173">
        <f t="shared" si="2"/>
        <v>9.57666666666667</v>
      </c>
      <c r="Q80" s="173">
        <f t="shared" si="3"/>
        <v>3.4476</v>
      </c>
      <c r="R80" s="173">
        <f t="shared" si="4"/>
        <v>17.9271708683473</v>
      </c>
      <c r="S80" s="173">
        <f t="shared" si="5"/>
        <v>5.97572362278245</v>
      </c>
      <c r="T80" s="173">
        <f t="shared" si="8"/>
        <v>32.964478044178</v>
      </c>
      <c r="U80" s="173">
        <f t="shared" si="6"/>
        <v>101.211734693878</v>
      </c>
      <c r="V80" s="174">
        <f t="shared" si="9"/>
        <v>11.2044817927171</v>
      </c>
      <c r="W80" s="174">
        <f t="shared" si="10"/>
        <v>5.98541666666667</v>
      </c>
      <c r="X80" s="69"/>
    </row>
    <row r="81" spans="2:24">
      <c r="B81" s="214"/>
      <c r="C81" s="215"/>
      <c r="D81" s="215"/>
      <c r="E81" s="215"/>
      <c r="F81" s="215"/>
      <c r="G81" s="215"/>
      <c r="H81" s="215"/>
      <c r="I81" s="215"/>
      <c r="J81" s="216"/>
      <c r="L81" s="213"/>
      <c r="M81" s="173">
        <f t="shared" si="7"/>
        <v>10.0059726016835</v>
      </c>
      <c r="N81" s="173">
        <f t="shared" si="0"/>
        <v>295.376326530612</v>
      </c>
      <c r="O81" s="173">
        <f t="shared" si="1"/>
        <v>-60.025306122449</v>
      </c>
      <c r="P81" s="173">
        <f t="shared" si="2"/>
        <v>9.57666666666667</v>
      </c>
      <c r="Q81" s="173">
        <f t="shared" si="3"/>
        <v>3.4476</v>
      </c>
      <c r="R81" s="173">
        <f t="shared" si="4"/>
        <v>17.9271708683473</v>
      </c>
      <c r="S81" s="173">
        <f t="shared" si="5"/>
        <v>5.97572362278245</v>
      </c>
      <c r="T81" s="173">
        <f t="shared" si="8"/>
        <v>34.2830571659451</v>
      </c>
      <c r="U81" s="173">
        <f t="shared" si="6"/>
        <v>109.470612244898</v>
      </c>
      <c r="V81" s="174">
        <f t="shared" si="9"/>
        <v>11.6526610644258</v>
      </c>
      <c r="W81" s="174">
        <f t="shared" si="10"/>
        <v>6.22483333333334</v>
      </c>
      <c r="X81" s="69"/>
    </row>
    <row r="82" spans="2:24">
      <c r="B82" s="217" t="s">
        <v>146</v>
      </c>
      <c r="C82" s="87"/>
      <c r="D82" s="72" t="s">
        <v>147</v>
      </c>
      <c r="G82" s="218"/>
      <c r="H82" s="209" t="s">
        <v>148</v>
      </c>
      <c r="J82" s="219"/>
      <c r="L82" s="213"/>
      <c r="M82" s="173">
        <f t="shared" si="7"/>
        <v>10.3908177017482</v>
      </c>
      <c r="N82" s="173">
        <f t="shared" si="0"/>
        <v>286.793571428571</v>
      </c>
      <c r="O82" s="173">
        <f t="shared" si="1"/>
        <v>-94.3563265306123</v>
      </c>
      <c r="P82" s="173">
        <f t="shared" si="2"/>
        <v>9.57666666666667</v>
      </c>
      <c r="Q82" s="173">
        <f t="shared" si="3"/>
        <v>3.4476</v>
      </c>
      <c r="R82" s="173">
        <f t="shared" si="4"/>
        <v>17.9271708683473</v>
      </c>
      <c r="S82" s="173">
        <f t="shared" si="5"/>
        <v>5.97572362278245</v>
      </c>
      <c r="T82" s="173">
        <f t="shared" si="8"/>
        <v>35.6016362877122</v>
      </c>
      <c r="U82" s="173">
        <f t="shared" si="6"/>
        <v>118.053367346939</v>
      </c>
      <c r="V82" s="174">
        <f t="shared" si="9"/>
        <v>12.1008403361345</v>
      </c>
      <c r="W82" s="174">
        <f t="shared" si="10"/>
        <v>6.46425</v>
      </c>
      <c r="X82" s="69"/>
    </row>
    <row r="83" spans="2:24">
      <c r="B83" s="217"/>
      <c r="D83" s="72"/>
      <c r="H83" s="209"/>
      <c r="J83" s="219"/>
      <c r="L83" s="213"/>
      <c r="M83" s="173">
        <f t="shared" si="7"/>
        <v>10.775662801813</v>
      </c>
      <c r="N83" s="173">
        <f t="shared" si="0"/>
        <v>277.88693877551</v>
      </c>
      <c r="O83" s="173">
        <f t="shared" si="1"/>
        <v>-129.982857142857</v>
      </c>
      <c r="P83" s="173">
        <f t="shared" si="2"/>
        <v>9.57666666666667</v>
      </c>
      <c r="Q83" s="173">
        <f t="shared" si="3"/>
        <v>3.4476</v>
      </c>
      <c r="R83" s="173">
        <f t="shared" si="4"/>
        <v>17.9271708683473</v>
      </c>
      <c r="S83" s="173">
        <f t="shared" si="5"/>
        <v>5.97572362278245</v>
      </c>
      <c r="T83" s="173">
        <f t="shared" si="8"/>
        <v>36.9202154094793</v>
      </c>
      <c r="U83" s="173">
        <f t="shared" si="6"/>
        <v>126.96</v>
      </c>
      <c r="V83" s="174">
        <f t="shared" si="9"/>
        <v>12.5490196078431</v>
      </c>
      <c r="W83" s="174">
        <f t="shared" si="10"/>
        <v>6.70366666666667</v>
      </c>
      <c r="X83" s="69"/>
    </row>
    <row r="84" spans="2:24">
      <c r="B84" s="217"/>
      <c r="C84" s="220"/>
      <c r="D84" s="72" t="s">
        <v>149</v>
      </c>
      <c r="J84" s="219"/>
      <c r="L84" s="213"/>
      <c r="M84" s="173">
        <f t="shared" si="7"/>
        <v>11.1605079018777</v>
      </c>
      <c r="N84" s="173">
        <f t="shared" si="0"/>
        <v>268.656428571429</v>
      </c>
      <c r="O84" s="173">
        <f t="shared" si="1"/>
        <v>-166.904897959184</v>
      </c>
      <c r="P84" s="173">
        <f t="shared" si="2"/>
        <v>9.57666666666667</v>
      </c>
      <c r="Q84" s="173">
        <f t="shared" si="3"/>
        <v>3.4476</v>
      </c>
      <c r="R84" s="173">
        <f t="shared" si="4"/>
        <v>17.9271708683473</v>
      </c>
      <c r="S84" s="173">
        <f t="shared" si="5"/>
        <v>5.97572362278245</v>
      </c>
      <c r="T84" s="173">
        <f t="shared" si="8"/>
        <v>38.2387945312464</v>
      </c>
      <c r="U84" s="173">
        <f t="shared" si="6"/>
        <v>136.190510204082</v>
      </c>
      <c r="V84" s="174">
        <f t="shared" si="9"/>
        <v>12.9971988795518</v>
      </c>
      <c r="W84" s="174">
        <f t="shared" si="10"/>
        <v>6.94308333333334</v>
      </c>
      <c r="X84" s="69"/>
    </row>
    <row r="85" ht="15" spans="2:24">
      <c r="B85" s="221"/>
      <c r="C85" s="222"/>
      <c r="D85" s="222"/>
      <c r="E85" s="222"/>
      <c r="F85" s="222"/>
      <c r="G85" s="222"/>
      <c r="H85" s="223"/>
      <c r="I85" s="224"/>
      <c r="J85" s="225"/>
      <c r="M85" s="173">
        <f t="shared" si="7"/>
        <v>11.5453530019425</v>
      </c>
      <c r="N85" s="173">
        <f t="shared" si="0"/>
        <v>259.102040816327</v>
      </c>
      <c r="O85" s="173">
        <f t="shared" si="1"/>
        <v>-205.122448979592</v>
      </c>
      <c r="P85" s="173">
        <f t="shared" si="2"/>
        <v>9.57666666666667</v>
      </c>
      <c r="Q85" s="173">
        <f t="shared" si="3"/>
        <v>3.4476</v>
      </c>
      <c r="R85" s="173">
        <f t="shared" si="4"/>
        <v>17.9271708683473</v>
      </c>
      <c r="S85" s="173">
        <f t="shared" si="5"/>
        <v>5.97572362278245</v>
      </c>
      <c r="T85" s="173">
        <f t="shared" si="8"/>
        <v>39.5573736530135</v>
      </c>
      <c r="U85" s="173">
        <f t="shared" si="6"/>
        <v>145.744897959184</v>
      </c>
      <c r="V85" s="174">
        <f t="shared" si="9"/>
        <v>13.4453781512605</v>
      </c>
      <c r="W85" s="174">
        <f t="shared" si="10"/>
        <v>7.1825</v>
      </c>
      <c r="X85" s="69"/>
    </row>
    <row r="86" spans="2:24">
      <c r="M86" s="173">
        <f t="shared" si="7"/>
        <v>11.9301981020072</v>
      </c>
      <c r="N86" s="173">
        <f t="shared" si="0"/>
        <v>249.223775510204</v>
      </c>
      <c r="O86" s="173">
        <f t="shared" si="1"/>
        <v>-244.635510204082</v>
      </c>
      <c r="P86" s="173">
        <f t="shared" si="2"/>
        <v>9.57666666666667</v>
      </c>
      <c r="Q86" s="173">
        <f t="shared" si="3"/>
        <v>3.4476</v>
      </c>
      <c r="R86" s="173">
        <f t="shared" si="4"/>
        <v>17.9271708683473</v>
      </c>
      <c r="S86" s="173">
        <f t="shared" si="5"/>
        <v>5.97572362278245</v>
      </c>
      <c r="T86" s="173">
        <f t="shared" si="8"/>
        <v>40.8759527747807</v>
      </c>
      <c r="U86" s="173">
        <f t="shared" si="6"/>
        <v>155.623163265306</v>
      </c>
      <c r="V86" s="174">
        <f t="shared" si="9"/>
        <v>13.8935574229692</v>
      </c>
      <c r="W86" s="174">
        <f t="shared" si="10"/>
        <v>7.42191666666667</v>
      </c>
      <c r="X86" s="69"/>
    </row>
    <row r="87" spans="2:24">
      <c r="M87" s="173">
        <f t="shared" si="7"/>
        <v>12.315043202072</v>
      </c>
      <c r="N87" s="173">
        <f t="shared" ref="N87:N105" si="11">(-名义最大充型压力*POWER(M87,2)/POWER(名义最大充型流量,2)+名义最大充型压力)</f>
        <v>239.021632653061</v>
      </c>
      <c r="O87" s="173">
        <f t="shared" ref="O87:O105" si="12">(-设定最大充型压力*POWER(M87,2)/POWER(设定空压射充型流量,2)+设定最大充型压力)</f>
        <v>-285.444081632653</v>
      </c>
      <c r="P87" s="173">
        <f t="shared" ref="P87:P105" si="13">最大期望充型压力</f>
        <v>9.57666666666667</v>
      </c>
      <c r="Q87" s="173">
        <f t="shared" ref="Q87:Q105" si="14">最小期望充型压力</f>
        <v>3.4476</v>
      </c>
      <c r="R87" s="173">
        <f t="shared" ref="R87:R105" si="15">最大期望填充流量</f>
        <v>17.9271708683473</v>
      </c>
      <c r="S87" s="173">
        <f t="shared" ref="S87:S105" si="16">最小期望填充流量</f>
        <v>5.97572362278245</v>
      </c>
      <c r="T87" s="173">
        <f t="shared" si="8"/>
        <v>42.1945318965478</v>
      </c>
      <c r="U87" s="173">
        <f t="shared" ref="U87:U105" si="17">POWER((T87/流量系数/浇口面积_实际),2)*液体密度/2*1000</f>
        <v>165.825306122449</v>
      </c>
      <c r="V87" s="174">
        <f t="shared" si="9"/>
        <v>14.3417366946779</v>
      </c>
      <c r="W87" s="174">
        <f t="shared" si="10"/>
        <v>7.66133333333334</v>
      </c>
      <c r="X87" s="69"/>
    </row>
    <row r="88" spans="2:24">
      <c r="M88" s="173">
        <f t="shared" ref="M88:M105" si="18">M87+MAX(名义最大充型流量,设定空压射充型流量)/50</f>
        <v>12.6998883021367</v>
      </c>
      <c r="N88" s="173">
        <f t="shared" si="11"/>
        <v>228.495612244898</v>
      </c>
      <c r="O88" s="173">
        <f t="shared" si="12"/>
        <v>-327.548163265306</v>
      </c>
      <c r="P88" s="173">
        <f t="shared" si="13"/>
        <v>9.57666666666667</v>
      </c>
      <c r="Q88" s="173">
        <f t="shared" si="14"/>
        <v>3.4476</v>
      </c>
      <c r="R88" s="173">
        <f t="shared" si="15"/>
        <v>17.9271708683473</v>
      </c>
      <c r="S88" s="173">
        <f t="shared" si="16"/>
        <v>5.97572362278245</v>
      </c>
      <c r="T88" s="173">
        <f t="shared" ref="T88:T105" si="19">T87+POWER(2*MAX(名义最大充型压力,设定最大充型压力)*POWER(流量系数*浇口面积_有效,2)/1000/液体密度,0.5)/50</f>
        <v>43.5131110183149</v>
      </c>
      <c r="U88" s="173">
        <f t="shared" si="17"/>
        <v>176.351326530612</v>
      </c>
      <c r="V88" s="174">
        <f t="shared" ref="V88:V105" si="20">V87+最大期望填充流量/40</f>
        <v>14.7899159663866</v>
      </c>
      <c r="W88" s="174">
        <f t="shared" ref="W88:W105" si="21">W87+最大期望充型压力/40</f>
        <v>7.90075000000001</v>
      </c>
      <c r="X88" s="69"/>
    </row>
    <row r="89" spans="2:24">
      <c r="M89" s="173">
        <f t="shared" si="18"/>
        <v>13.0847334022015</v>
      </c>
      <c r="N89" s="173">
        <f t="shared" si="11"/>
        <v>217.645714285714</v>
      </c>
      <c r="O89" s="173">
        <f t="shared" si="12"/>
        <v>-370.947755102041</v>
      </c>
      <c r="P89" s="173">
        <f t="shared" si="13"/>
        <v>9.57666666666667</v>
      </c>
      <c r="Q89" s="173">
        <f t="shared" si="14"/>
        <v>3.4476</v>
      </c>
      <c r="R89" s="173">
        <f t="shared" si="15"/>
        <v>17.9271708683473</v>
      </c>
      <c r="S89" s="173">
        <f t="shared" si="16"/>
        <v>5.97572362278245</v>
      </c>
      <c r="T89" s="173">
        <f t="shared" si="19"/>
        <v>44.831690140082</v>
      </c>
      <c r="U89" s="173">
        <f t="shared" si="17"/>
        <v>187.201224489796</v>
      </c>
      <c r="V89" s="174">
        <f t="shared" si="20"/>
        <v>15.2380952380952</v>
      </c>
      <c r="W89" s="174">
        <f t="shared" si="21"/>
        <v>8.14016666666667</v>
      </c>
      <c r="X89" s="69"/>
    </row>
    <row r="90" spans="2:24">
      <c r="M90" s="173">
        <f t="shared" si="18"/>
        <v>13.4695785022662</v>
      </c>
      <c r="N90" s="173">
        <f t="shared" si="11"/>
        <v>206.47193877551</v>
      </c>
      <c r="O90" s="173">
        <f t="shared" si="12"/>
        <v>-415.642857142857</v>
      </c>
      <c r="P90" s="173">
        <f t="shared" si="13"/>
        <v>9.57666666666667</v>
      </c>
      <c r="Q90" s="173">
        <f t="shared" si="14"/>
        <v>3.4476</v>
      </c>
      <c r="R90" s="173">
        <f t="shared" si="15"/>
        <v>17.9271708683473</v>
      </c>
      <c r="S90" s="173">
        <f t="shared" si="16"/>
        <v>5.97572362278245</v>
      </c>
      <c r="T90" s="173">
        <f t="shared" si="19"/>
        <v>46.1502692618491</v>
      </c>
      <c r="U90" s="173">
        <f t="shared" si="17"/>
        <v>198.375</v>
      </c>
      <c r="V90" s="174">
        <f t="shared" si="20"/>
        <v>15.6862745098039</v>
      </c>
      <c r="W90" s="174">
        <f t="shared" si="21"/>
        <v>8.37958333333334</v>
      </c>
      <c r="X90" s="69"/>
    </row>
    <row r="91" spans="2:24">
      <c r="M91" s="173">
        <f t="shared" si="18"/>
        <v>13.854423602331</v>
      </c>
      <c r="N91" s="173">
        <f t="shared" si="11"/>
        <v>194.974285714286</v>
      </c>
      <c r="O91" s="173">
        <f t="shared" si="12"/>
        <v>-461.633469387755</v>
      </c>
      <c r="P91" s="173">
        <f t="shared" si="13"/>
        <v>9.57666666666667</v>
      </c>
      <c r="Q91" s="173">
        <f t="shared" si="14"/>
        <v>3.4476</v>
      </c>
      <c r="R91" s="173">
        <f t="shared" si="15"/>
        <v>17.9271708683473</v>
      </c>
      <c r="S91" s="173">
        <f t="shared" si="16"/>
        <v>5.97572362278245</v>
      </c>
      <c r="T91" s="173">
        <f t="shared" si="19"/>
        <v>47.4688483836162</v>
      </c>
      <c r="U91" s="173">
        <f t="shared" si="17"/>
        <v>209.872653061224</v>
      </c>
      <c r="V91" s="174">
        <f t="shared" si="20"/>
        <v>16.1344537815126</v>
      </c>
      <c r="W91" s="174">
        <f t="shared" si="21"/>
        <v>8.61900000000001</v>
      </c>
      <c r="X91" s="69"/>
    </row>
    <row r="92" spans="2:24">
      <c r="M92" s="173">
        <f t="shared" si="18"/>
        <v>14.2392687023957</v>
      </c>
      <c r="N92" s="173">
        <f t="shared" si="11"/>
        <v>183.152755102041</v>
      </c>
      <c r="O92" s="173">
        <f t="shared" si="12"/>
        <v>-508.919591836735</v>
      </c>
      <c r="P92" s="173">
        <f t="shared" si="13"/>
        <v>9.57666666666667</v>
      </c>
      <c r="Q92" s="173">
        <f t="shared" si="14"/>
        <v>3.4476</v>
      </c>
      <c r="R92" s="173">
        <f t="shared" si="15"/>
        <v>17.9271708683473</v>
      </c>
      <c r="S92" s="173">
        <f t="shared" si="16"/>
        <v>5.97572362278245</v>
      </c>
      <c r="T92" s="173">
        <f t="shared" si="19"/>
        <v>48.7874275053833</v>
      </c>
      <c r="U92" s="173">
        <f t="shared" si="17"/>
        <v>221.694183673469</v>
      </c>
      <c r="V92" s="174">
        <f t="shared" si="20"/>
        <v>16.5826330532213</v>
      </c>
      <c r="W92" s="174">
        <f t="shared" si="21"/>
        <v>8.85841666666667</v>
      </c>
      <c r="X92" s="69"/>
    </row>
    <row r="93" spans="2:24">
      <c r="B93" s="226" t="s">
        <v>150</v>
      </c>
      <c r="C93" s="227"/>
      <c r="D93" s="228"/>
      <c r="E93" s="229"/>
      <c r="F93" s="229"/>
      <c r="G93" s="229"/>
      <c r="H93" s="229"/>
      <c r="I93" s="229"/>
      <c r="J93" s="230"/>
      <c r="M93" s="173">
        <f t="shared" si="18"/>
        <v>14.6241138024605</v>
      </c>
      <c r="N93" s="173">
        <f t="shared" si="11"/>
        <v>171.007346938776</v>
      </c>
      <c r="O93" s="173">
        <f t="shared" si="12"/>
        <v>-557.501224489796</v>
      </c>
      <c r="P93" s="173">
        <f t="shared" si="13"/>
        <v>9.57666666666667</v>
      </c>
      <c r="Q93" s="173">
        <f t="shared" si="14"/>
        <v>3.4476</v>
      </c>
      <c r="R93" s="173">
        <f t="shared" si="15"/>
        <v>17.9271708683473</v>
      </c>
      <c r="S93" s="173">
        <f t="shared" si="16"/>
        <v>5.97572362278245</v>
      </c>
      <c r="T93" s="173">
        <f t="shared" si="19"/>
        <v>50.1060066271505</v>
      </c>
      <c r="U93" s="173">
        <f t="shared" si="17"/>
        <v>233.839591836734</v>
      </c>
      <c r="V93" s="174">
        <f t="shared" si="20"/>
        <v>17.03081232493</v>
      </c>
      <c r="W93" s="174">
        <f t="shared" si="21"/>
        <v>9.09783333333334</v>
      </c>
      <c r="X93" s="69"/>
    </row>
    <row r="94" spans="2:24">
      <c r="B94" s="160" t="s">
        <v>151</v>
      </c>
      <c r="C94" s="226" t="s">
        <v>152</v>
      </c>
      <c r="D94" s="228"/>
      <c r="E94" s="229"/>
      <c r="F94" s="229"/>
      <c r="G94" s="229"/>
      <c r="H94" s="229"/>
      <c r="I94" s="229"/>
      <c r="J94" s="230"/>
      <c r="M94" s="173">
        <f t="shared" si="18"/>
        <v>15.0089589025252</v>
      </c>
      <c r="N94" s="173">
        <f t="shared" si="11"/>
        <v>158.53806122449</v>
      </c>
      <c r="O94" s="173">
        <f t="shared" si="12"/>
        <v>-607.378367346939</v>
      </c>
      <c r="P94" s="173">
        <f t="shared" si="13"/>
        <v>9.57666666666667</v>
      </c>
      <c r="Q94" s="173">
        <f t="shared" si="14"/>
        <v>3.4476</v>
      </c>
      <c r="R94" s="173">
        <f t="shared" si="15"/>
        <v>17.9271708683473</v>
      </c>
      <c r="S94" s="173">
        <f t="shared" si="16"/>
        <v>5.97572362278245</v>
      </c>
      <c r="T94" s="173">
        <f t="shared" si="19"/>
        <v>51.4245857489176</v>
      </c>
      <c r="U94" s="173">
        <f t="shared" si="17"/>
        <v>246.30887755102</v>
      </c>
      <c r="V94" s="174">
        <f t="shared" si="20"/>
        <v>17.4789915966387</v>
      </c>
      <c r="W94" s="174">
        <f t="shared" si="21"/>
        <v>9.33725000000001</v>
      </c>
      <c r="X94" s="69"/>
    </row>
    <row r="95" spans="2:24">
      <c r="B95" s="160">
        <v>1</v>
      </c>
      <c r="C95" s="226" t="s">
        <v>153</v>
      </c>
      <c r="D95" s="228"/>
      <c r="E95" s="229"/>
      <c r="F95" s="229"/>
      <c r="G95" s="229"/>
      <c r="H95" s="229"/>
      <c r="I95" s="229"/>
      <c r="J95" s="230"/>
      <c r="M95" s="173">
        <f t="shared" si="18"/>
        <v>15.39380400259</v>
      </c>
      <c r="N95" s="173">
        <f t="shared" si="11"/>
        <v>145.744897959184</v>
      </c>
      <c r="O95" s="173">
        <f t="shared" si="12"/>
        <v>-658.551020408164</v>
      </c>
      <c r="P95" s="173">
        <f t="shared" si="13"/>
        <v>9.57666666666667</v>
      </c>
      <c r="Q95" s="173">
        <f t="shared" si="14"/>
        <v>3.4476</v>
      </c>
      <c r="R95" s="173">
        <f t="shared" si="15"/>
        <v>17.9271708683473</v>
      </c>
      <c r="S95" s="173">
        <f t="shared" si="16"/>
        <v>5.97572362278245</v>
      </c>
      <c r="T95" s="173">
        <f t="shared" si="19"/>
        <v>52.7431648706847</v>
      </c>
      <c r="U95" s="173">
        <f t="shared" si="17"/>
        <v>259.102040816326</v>
      </c>
      <c r="V95" s="174">
        <f t="shared" si="20"/>
        <v>17.9271708683473</v>
      </c>
      <c r="W95" s="174">
        <f t="shared" si="21"/>
        <v>9.57666666666668</v>
      </c>
      <c r="X95" s="69"/>
    </row>
    <row r="96" spans="2:24">
      <c r="B96" s="160">
        <v>1.5</v>
      </c>
      <c r="C96" s="226" t="s">
        <v>154</v>
      </c>
      <c r="D96" s="228"/>
      <c r="E96" s="229"/>
      <c r="F96" s="229"/>
      <c r="G96" s="229"/>
      <c r="H96" s="229"/>
      <c r="I96" s="229"/>
      <c r="J96" s="230"/>
      <c r="M96" s="173">
        <f t="shared" si="18"/>
        <v>15.7786491026547</v>
      </c>
      <c r="N96" s="173">
        <f t="shared" si="11"/>
        <v>132.627857142857</v>
      </c>
      <c r="O96" s="173">
        <f t="shared" si="12"/>
        <v>-711.01918367347</v>
      </c>
      <c r="P96" s="173">
        <f t="shared" si="13"/>
        <v>9.57666666666667</v>
      </c>
      <c r="Q96" s="173">
        <f t="shared" si="14"/>
        <v>3.4476</v>
      </c>
      <c r="R96" s="173">
        <f t="shared" si="15"/>
        <v>17.9271708683473</v>
      </c>
      <c r="S96" s="173">
        <f t="shared" si="16"/>
        <v>5.97572362278245</v>
      </c>
      <c r="T96" s="173">
        <f t="shared" si="19"/>
        <v>54.0617439924518</v>
      </c>
      <c r="U96" s="173">
        <f t="shared" si="17"/>
        <v>272.219081632653</v>
      </c>
      <c r="V96" s="174">
        <f t="shared" si="20"/>
        <v>18.375350140056</v>
      </c>
      <c r="W96" s="174">
        <f t="shared" si="21"/>
        <v>9.81608333333334</v>
      </c>
      <c r="X96" s="69"/>
    </row>
    <row r="97" spans="2:24">
      <c r="B97" s="160">
        <v>2</v>
      </c>
      <c r="C97" s="226" t="s">
        <v>155</v>
      </c>
      <c r="D97" s="228"/>
      <c r="E97" s="229"/>
      <c r="F97" s="229"/>
      <c r="G97" s="229"/>
      <c r="H97" s="229"/>
      <c r="I97" s="229"/>
      <c r="J97" s="230"/>
      <c r="M97" s="173">
        <f t="shared" si="18"/>
        <v>16.1634942027195</v>
      </c>
      <c r="N97" s="173">
        <f t="shared" si="11"/>
        <v>119.18693877551</v>
      </c>
      <c r="O97" s="173">
        <f t="shared" si="12"/>
        <v>-764.782857142857</v>
      </c>
      <c r="P97" s="173">
        <f t="shared" si="13"/>
        <v>9.57666666666667</v>
      </c>
      <c r="Q97" s="173">
        <f t="shared" si="14"/>
        <v>3.4476</v>
      </c>
      <c r="R97" s="173">
        <f t="shared" si="15"/>
        <v>17.9271708683473</v>
      </c>
      <c r="S97" s="173">
        <f t="shared" si="16"/>
        <v>5.97572362278245</v>
      </c>
      <c r="T97" s="173">
        <f t="shared" si="19"/>
        <v>55.3803231142189</v>
      </c>
      <c r="U97" s="173">
        <f t="shared" si="17"/>
        <v>285.66</v>
      </c>
      <c r="V97" s="174">
        <f t="shared" si="20"/>
        <v>18.8235294117647</v>
      </c>
      <c r="W97" s="174">
        <f t="shared" si="21"/>
        <v>10.0555</v>
      </c>
      <c r="X97" s="69"/>
    </row>
    <row r="98" spans="2:24">
      <c r="B98" s="160">
        <v>2.5</v>
      </c>
      <c r="C98" s="226" t="s">
        <v>156</v>
      </c>
      <c r="D98" s="228"/>
      <c r="E98" s="229"/>
      <c r="F98" s="229"/>
      <c r="G98" s="229"/>
      <c r="H98" s="229"/>
      <c r="I98" s="229"/>
      <c r="J98" s="230"/>
      <c r="M98" s="173">
        <f t="shared" si="18"/>
        <v>16.5483393027842</v>
      </c>
      <c r="N98" s="173">
        <f t="shared" si="11"/>
        <v>105.422142857143</v>
      </c>
      <c r="O98" s="173">
        <f t="shared" si="12"/>
        <v>-819.842040816326</v>
      </c>
      <c r="P98" s="173">
        <f t="shared" si="13"/>
        <v>9.57666666666667</v>
      </c>
      <c r="Q98" s="173">
        <f t="shared" si="14"/>
        <v>3.4476</v>
      </c>
      <c r="R98" s="173">
        <f t="shared" si="15"/>
        <v>17.9271708683473</v>
      </c>
      <c r="S98" s="173">
        <f t="shared" si="16"/>
        <v>5.97572362278245</v>
      </c>
      <c r="T98" s="173">
        <f t="shared" si="19"/>
        <v>56.698902235986</v>
      </c>
      <c r="U98" s="173">
        <f t="shared" si="17"/>
        <v>299.424795918367</v>
      </c>
      <c r="V98" s="174">
        <f t="shared" si="20"/>
        <v>19.2717086834734</v>
      </c>
      <c r="W98" s="174">
        <f t="shared" si="21"/>
        <v>10.2949166666667</v>
      </c>
      <c r="X98" s="69"/>
    </row>
    <row r="99" spans="2:24">
      <c r="B99" s="160">
        <v>3</v>
      </c>
      <c r="C99" s="226" t="s">
        <v>157</v>
      </c>
      <c r="D99" s="228"/>
      <c r="E99" s="229"/>
      <c r="F99" s="229"/>
      <c r="G99" s="229"/>
      <c r="H99" s="229"/>
      <c r="I99" s="229"/>
      <c r="J99" s="230"/>
      <c r="M99" s="173">
        <f t="shared" si="18"/>
        <v>16.933184402849</v>
      </c>
      <c r="N99" s="173">
        <f t="shared" si="11"/>
        <v>91.3334693877553</v>
      </c>
      <c r="O99" s="173">
        <f t="shared" si="12"/>
        <v>-876.196734693877</v>
      </c>
      <c r="P99" s="173">
        <f t="shared" si="13"/>
        <v>9.57666666666667</v>
      </c>
      <c r="Q99" s="173">
        <f t="shared" si="14"/>
        <v>3.4476</v>
      </c>
      <c r="R99" s="173">
        <f t="shared" si="15"/>
        <v>17.9271708683473</v>
      </c>
      <c r="S99" s="173">
        <f t="shared" si="16"/>
        <v>5.97572362278245</v>
      </c>
      <c r="T99" s="173">
        <f t="shared" si="19"/>
        <v>58.0174813577531</v>
      </c>
      <c r="U99" s="173">
        <f t="shared" si="17"/>
        <v>313.513469387755</v>
      </c>
      <c r="V99" s="174">
        <f t="shared" si="20"/>
        <v>19.7198879551821</v>
      </c>
      <c r="W99" s="174">
        <f t="shared" si="21"/>
        <v>10.5343333333333</v>
      </c>
      <c r="X99" s="69"/>
    </row>
    <row r="100" ht="15" spans="2:24">
      <c r="B100" s="231">
        <v>3.5</v>
      </c>
      <c r="C100" s="232" t="s">
        <v>158</v>
      </c>
      <c r="D100" s="233"/>
      <c r="E100" s="230"/>
      <c r="F100" s="230"/>
      <c r="G100" s="230"/>
      <c r="H100" s="230"/>
      <c r="I100" s="230"/>
      <c r="J100" s="230"/>
      <c r="M100" s="173">
        <f t="shared" si="18"/>
        <v>17.3180295029137</v>
      </c>
      <c r="N100" s="173">
        <f t="shared" si="11"/>
        <v>76.9209183673472</v>
      </c>
      <c r="O100" s="173">
        <f t="shared" si="12"/>
        <v>-933.846938775509</v>
      </c>
      <c r="P100" s="173">
        <f t="shared" si="13"/>
        <v>9.57666666666667</v>
      </c>
      <c r="Q100" s="173">
        <f t="shared" si="14"/>
        <v>3.4476</v>
      </c>
      <c r="R100" s="173">
        <f t="shared" si="15"/>
        <v>17.9271708683473</v>
      </c>
      <c r="S100" s="173">
        <f t="shared" si="16"/>
        <v>5.97572362278245</v>
      </c>
      <c r="T100" s="173">
        <f t="shared" si="19"/>
        <v>59.3360604795203</v>
      </c>
      <c r="U100" s="173">
        <f t="shared" si="17"/>
        <v>327.926020408163</v>
      </c>
      <c r="V100" s="174">
        <f t="shared" si="20"/>
        <v>20.1680672268907</v>
      </c>
      <c r="W100" s="174">
        <f t="shared" si="21"/>
        <v>10.77375</v>
      </c>
      <c r="X100" s="69"/>
    </row>
    <row r="101" ht="15" spans="2:24">
      <c r="B101" s="231">
        <v>4.5</v>
      </c>
      <c r="C101" s="232" t="s">
        <v>159</v>
      </c>
      <c r="D101" s="233"/>
      <c r="E101" s="230"/>
      <c r="F101" s="230"/>
      <c r="G101" s="230"/>
      <c r="H101" s="230"/>
      <c r="I101" s="230"/>
      <c r="J101" s="230"/>
      <c r="M101" s="173">
        <f t="shared" si="18"/>
        <v>17.7028746029785</v>
      </c>
      <c r="N101" s="173">
        <f t="shared" si="11"/>
        <v>62.1844897959186</v>
      </c>
      <c r="O101" s="173">
        <f t="shared" si="12"/>
        <v>-992.792653061223</v>
      </c>
      <c r="P101" s="173">
        <f t="shared" si="13"/>
        <v>9.57666666666667</v>
      </c>
      <c r="Q101" s="173">
        <f t="shared" si="14"/>
        <v>3.4476</v>
      </c>
      <c r="R101" s="173">
        <f t="shared" si="15"/>
        <v>17.9271708683473</v>
      </c>
      <c r="S101" s="173">
        <f t="shared" si="16"/>
        <v>5.97572362278245</v>
      </c>
      <c r="T101" s="173">
        <f t="shared" si="19"/>
        <v>60.6546396012874</v>
      </c>
      <c r="U101" s="173">
        <f t="shared" si="17"/>
        <v>342.662448979591</v>
      </c>
      <c r="V101" s="174">
        <f t="shared" si="20"/>
        <v>20.6162464985994</v>
      </c>
      <c r="W101" s="174">
        <f t="shared" si="21"/>
        <v>11.0131666666667</v>
      </c>
      <c r="X101" s="69"/>
    </row>
    <row r="102" ht="15" spans="2:24">
      <c r="B102" s="231">
        <v>5</v>
      </c>
      <c r="C102" s="232" t="s">
        <v>160</v>
      </c>
      <c r="D102" s="233"/>
      <c r="E102" s="229"/>
      <c r="F102" s="229"/>
      <c r="G102" s="229"/>
      <c r="H102" s="229"/>
      <c r="I102" s="229"/>
      <c r="J102" s="229"/>
      <c r="M102" s="173">
        <f t="shared" si="18"/>
        <v>18.0877197030432</v>
      </c>
      <c r="N102" s="173">
        <f t="shared" si="11"/>
        <v>47.1241836734698</v>
      </c>
      <c r="O102" s="173">
        <f t="shared" si="12"/>
        <v>-1053.03387755102</v>
      </c>
      <c r="P102" s="173">
        <f t="shared" si="13"/>
        <v>9.57666666666667</v>
      </c>
      <c r="Q102" s="173">
        <f t="shared" si="14"/>
        <v>3.4476</v>
      </c>
      <c r="R102" s="173">
        <f t="shared" si="15"/>
        <v>17.9271708683473</v>
      </c>
      <c r="S102" s="173">
        <f t="shared" si="16"/>
        <v>5.97572362278245</v>
      </c>
      <c r="T102" s="173">
        <f t="shared" si="19"/>
        <v>61.9732187230545</v>
      </c>
      <c r="U102" s="173">
        <f t="shared" si="17"/>
        <v>357.72275510204</v>
      </c>
      <c r="V102" s="174">
        <f t="shared" si="20"/>
        <v>21.0644257703081</v>
      </c>
      <c r="W102" s="174">
        <f t="shared" si="21"/>
        <v>11.2525833333333</v>
      </c>
      <c r="X102" s="69"/>
    </row>
    <row r="103" ht="15" spans="2:24">
      <c r="B103" s="231">
        <v>5.5</v>
      </c>
      <c r="C103" s="232" t="s">
        <v>161</v>
      </c>
      <c r="D103" s="233"/>
      <c r="E103" s="229"/>
      <c r="F103" s="229"/>
      <c r="G103" s="229"/>
      <c r="H103" s="229"/>
      <c r="I103" s="229"/>
      <c r="J103" s="229"/>
      <c r="M103" s="173">
        <f t="shared" si="18"/>
        <v>18.472564803108</v>
      </c>
      <c r="N103" s="173">
        <f t="shared" si="11"/>
        <v>31.7400000000005</v>
      </c>
      <c r="O103" s="173">
        <f t="shared" si="12"/>
        <v>-1114.5706122449</v>
      </c>
      <c r="P103" s="173">
        <f t="shared" si="13"/>
        <v>9.57666666666667</v>
      </c>
      <c r="Q103" s="173">
        <f t="shared" si="14"/>
        <v>3.4476</v>
      </c>
      <c r="R103" s="173">
        <f t="shared" si="15"/>
        <v>17.9271708683473</v>
      </c>
      <c r="S103" s="173">
        <f t="shared" si="16"/>
        <v>5.97572362278245</v>
      </c>
      <c r="T103" s="173">
        <f t="shared" si="19"/>
        <v>63.2917978448216</v>
      </c>
      <c r="U103" s="173">
        <f t="shared" si="17"/>
        <v>373.10693877551</v>
      </c>
      <c r="V103" s="174">
        <f t="shared" si="20"/>
        <v>21.5126050420168</v>
      </c>
      <c r="W103" s="174">
        <f t="shared" si="21"/>
        <v>11.492</v>
      </c>
      <c r="X103" s="69"/>
    </row>
    <row r="104" ht="15" spans="2:24">
      <c r="B104" s="231">
        <v>6</v>
      </c>
      <c r="C104" s="232" t="s">
        <v>162</v>
      </c>
      <c r="D104" s="233"/>
      <c r="E104" s="229"/>
      <c r="F104" s="229"/>
      <c r="G104" s="229"/>
      <c r="H104" s="229"/>
      <c r="I104" s="229"/>
      <c r="J104" s="229"/>
      <c r="M104" s="173">
        <f t="shared" si="18"/>
        <v>18.8574099031727</v>
      </c>
      <c r="N104" s="173">
        <f t="shared" si="11"/>
        <v>16.0319387755108</v>
      </c>
      <c r="O104" s="173">
        <f t="shared" si="12"/>
        <v>-1177.40285714286</v>
      </c>
      <c r="P104" s="173">
        <f t="shared" si="13"/>
        <v>9.57666666666667</v>
      </c>
      <c r="Q104" s="173">
        <f t="shared" si="14"/>
        <v>3.4476</v>
      </c>
      <c r="R104" s="173">
        <f t="shared" si="15"/>
        <v>17.9271708683473</v>
      </c>
      <c r="S104" s="173">
        <f t="shared" si="16"/>
        <v>5.97572362278245</v>
      </c>
      <c r="T104" s="173">
        <f t="shared" si="19"/>
        <v>64.6103769665887</v>
      </c>
      <c r="U104" s="173">
        <f t="shared" si="17"/>
        <v>388.814999999999</v>
      </c>
      <c r="V104" s="174">
        <f t="shared" si="20"/>
        <v>21.9607843137255</v>
      </c>
      <c r="W104" s="174">
        <f t="shared" si="21"/>
        <v>11.7314166666667</v>
      </c>
      <c r="X104" s="69"/>
    </row>
    <row r="105" ht="15" spans="2:24">
      <c r="B105" s="231">
        <v>6.5</v>
      </c>
      <c r="C105" s="232" t="s">
        <v>163</v>
      </c>
      <c r="D105" s="233"/>
      <c r="E105" s="229"/>
      <c r="F105" s="229"/>
      <c r="G105" s="229"/>
      <c r="H105" s="229"/>
      <c r="I105" s="229"/>
      <c r="J105" s="229"/>
      <c r="M105" s="173">
        <f t="shared" si="18"/>
        <v>19.2422550032375</v>
      </c>
      <c r="N105" s="173">
        <f t="shared" si="11"/>
        <v>5.6843418860808e-13</v>
      </c>
      <c r="O105" s="173">
        <f t="shared" si="12"/>
        <v>-1241.5306122449</v>
      </c>
      <c r="P105" s="173">
        <f t="shared" si="13"/>
        <v>9.57666666666667</v>
      </c>
      <c r="Q105" s="173">
        <f t="shared" si="14"/>
        <v>3.4476</v>
      </c>
      <c r="R105" s="173">
        <f t="shared" si="15"/>
        <v>17.9271708683473</v>
      </c>
      <c r="S105" s="173">
        <f t="shared" si="16"/>
        <v>5.97572362278245</v>
      </c>
      <c r="T105" s="173">
        <f t="shared" si="19"/>
        <v>65.9289560883558</v>
      </c>
      <c r="U105" s="173">
        <f t="shared" si="17"/>
        <v>404.84693877551</v>
      </c>
      <c r="V105" s="174">
        <f t="shared" si="20"/>
        <v>22.4089635854342</v>
      </c>
      <c r="W105" s="174">
        <f t="shared" si="21"/>
        <v>11.9708333333333</v>
      </c>
      <c r="X105" s="69"/>
    </row>
    <row r="106" spans="2:24">
      <c r="B106" s="160">
        <v>7</v>
      </c>
      <c r="C106" s="226" t="s">
        <v>164</v>
      </c>
      <c r="D106" s="228"/>
      <c r="E106" s="229"/>
      <c r="F106" s="229"/>
      <c r="G106" s="229"/>
      <c r="H106" s="229"/>
      <c r="I106" s="229"/>
      <c r="J106" s="229"/>
      <c r="M106" s="234"/>
      <c r="N106" s="69"/>
      <c r="O106" s="69"/>
      <c r="P106" s="69"/>
      <c r="Q106" s="69"/>
      <c r="R106" s="69"/>
      <c r="S106" s="69"/>
      <c r="T106" s="234"/>
      <c r="U106" s="234"/>
      <c r="V106" s="234"/>
      <c r="W106" s="234"/>
      <c r="X106" s="69"/>
    </row>
    <row r="107" spans="2:24">
      <c r="E107" s="229"/>
      <c r="F107" s="229"/>
      <c r="G107" s="229"/>
      <c r="H107" s="229"/>
      <c r="I107" s="229"/>
      <c r="J107" s="229"/>
    </row>
    <row r="108" spans="2:24">
      <c r="E108" s="229"/>
      <c r="F108" s="229"/>
      <c r="G108" s="229"/>
      <c r="H108" s="229"/>
      <c r="I108" s="229"/>
      <c r="J108" s="229"/>
    </row>
    <row r="109" spans="2:24">
      <c r="B109" s="162" t="s">
        <v>165</v>
      </c>
      <c r="C109" s="162"/>
      <c r="D109" s="162"/>
      <c r="E109" s="229"/>
      <c r="F109" s="229"/>
      <c r="G109" s="229"/>
      <c r="H109" s="229"/>
      <c r="I109" s="229"/>
      <c r="J109" s="229"/>
    </row>
    <row r="110" spans="2:24">
      <c r="B110" s="160" t="s">
        <v>166</v>
      </c>
      <c r="C110" s="160" t="s">
        <v>167</v>
      </c>
      <c r="D110" s="160"/>
      <c r="E110" s="229"/>
      <c r="F110" s="229"/>
      <c r="G110" s="229"/>
      <c r="H110" s="229"/>
      <c r="I110" s="229"/>
      <c r="J110" s="229"/>
    </row>
    <row r="111" spans="2:24">
      <c r="B111" s="160">
        <v>1</v>
      </c>
      <c r="C111" s="160" t="s">
        <v>168</v>
      </c>
      <c r="D111" s="160"/>
      <c r="E111" s="229"/>
      <c r="F111" s="229"/>
      <c r="G111" s="229"/>
      <c r="H111" s="229"/>
      <c r="I111" s="229"/>
      <c r="J111" s="229"/>
    </row>
    <row r="112" spans="2:24">
      <c r="B112" s="160">
        <v>1.5</v>
      </c>
      <c r="C112" s="160" t="s">
        <v>169</v>
      </c>
      <c r="D112" s="160"/>
      <c r="E112" s="235" t="s">
        <v>12</v>
      </c>
      <c r="F112" s="236"/>
      <c r="G112" s="236"/>
      <c r="I112" s="236" t="s">
        <v>170</v>
      </c>
      <c r="J112" s="236"/>
    </row>
    <row r="113" spans="2:12">
      <c r="B113" s="160">
        <v>2</v>
      </c>
      <c r="C113" s="160" t="s">
        <v>171</v>
      </c>
      <c r="D113" s="160"/>
      <c r="E113" s="235" t="s">
        <v>12</v>
      </c>
      <c r="F113" s="236"/>
      <c r="G113" s="236"/>
    </row>
    <row r="114" spans="2:12">
      <c r="B114" s="160">
        <v>2.5</v>
      </c>
      <c r="C114" s="160" t="s">
        <v>172</v>
      </c>
      <c r="D114" s="160"/>
      <c r="E114" s="235"/>
      <c r="F114" s="236"/>
      <c r="G114" s="236"/>
    </row>
    <row r="115" spans="2:12">
      <c r="B115" s="160">
        <v>3</v>
      </c>
      <c r="C115" s="160" t="s">
        <v>173</v>
      </c>
      <c r="D115" s="160"/>
      <c r="E115" s="6"/>
      <c r="F115" s="6"/>
      <c r="G115" s="6"/>
      <c r="H115" s="6"/>
      <c r="I115" s="6"/>
    </row>
    <row r="116" spans="2:12">
      <c r="B116" s="160">
        <v>3.5</v>
      </c>
      <c r="C116" s="160" t="s">
        <v>174</v>
      </c>
      <c r="D116" s="160"/>
      <c r="E116" s="6"/>
      <c r="F116" s="6"/>
      <c r="G116" s="6"/>
      <c r="H116" s="6"/>
      <c r="I116" s="6"/>
    </row>
    <row r="117" ht="20" customHeight="1" spans="2:12">
      <c r="B117" s="160">
        <v>4</v>
      </c>
      <c r="C117" s="160" t="s">
        <v>175</v>
      </c>
      <c r="D117" s="160"/>
      <c r="E117" s="6"/>
      <c r="F117" s="6"/>
      <c r="G117" s="6"/>
      <c r="H117" s="6"/>
      <c r="I117" s="6"/>
      <c r="L117" s="237"/>
    </row>
    <row r="118" spans="2:12">
      <c r="B118" s="160">
        <v>4.5</v>
      </c>
      <c r="C118" s="160" t="s">
        <v>176</v>
      </c>
      <c r="D118" s="160"/>
      <c r="E118" s="6"/>
      <c r="F118" s="6"/>
      <c r="G118" s="6"/>
      <c r="H118" s="6"/>
      <c r="I118" s="6"/>
      <c r="L118" s="237"/>
    </row>
    <row r="119" spans="2:12">
      <c r="B119" s="160">
        <v>5</v>
      </c>
      <c r="C119" s="160" t="s">
        <v>177</v>
      </c>
      <c r="D119" s="160"/>
      <c r="E119" s="6"/>
      <c r="F119" s="6"/>
      <c r="G119" s="6"/>
      <c r="H119" s="6"/>
      <c r="I119" s="6"/>
      <c r="L119" s="237"/>
    </row>
    <row r="120" spans="2:12">
      <c r="B120" s="160">
        <v>6</v>
      </c>
      <c r="C120" s="160" t="s">
        <v>178</v>
      </c>
      <c r="D120" s="160"/>
      <c r="E120" s="6"/>
      <c r="F120" s="6"/>
      <c r="G120" s="6"/>
      <c r="H120" s="6"/>
      <c r="I120" s="6"/>
      <c r="L120" s="237"/>
    </row>
    <row r="121" spans="2:12">
      <c r="B121" s="160">
        <v>7</v>
      </c>
      <c r="C121" s="160" t="s">
        <v>179</v>
      </c>
      <c r="D121" s="160"/>
      <c r="E121" s="6"/>
      <c r="F121" s="6"/>
      <c r="G121" s="6"/>
      <c r="H121" s="6"/>
      <c r="I121" s="6"/>
      <c r="L121" s="237"/>
    </row>
    <row r="122" spans="2:12">
      <c r="B122" s="160">
        <v>8</v>
      </c>
      <c r="C122" s="160" t="s">
        <v>180</v>
      </c>
      <c r="D122" s="160"/>
      <c r="E122" s="6"/>
      <c r="F122" s="6"/>
      <c r="G122" s="6"/>
      <c r="H122" s="6"/>
      <c r="I122" s="6"/>
    </row>
    <row r="123" spans="2:12">
      <c r="B123" s="160">
        <v>9</v>
      </c>
      <c r="C123" s="160" t="s">
        <v>181</v>
      </c>
      <c r="D123" s="160"/>
    </row>
    <row r="124" spans="2:12">
      <c r="B124" s="160">
        <v>10</v>
      </c>
      <c r="C124" s="160" t="s">
        <v>182</v>
      </c>
      <c r="D124" s="160"/>
    </row>
    <row r="127" ht="20.1" customHeight="1" spans="2:12">
      <c r="B127" s="238" t="s">
        <v>183</v>
      </c>
      <c r="C127" s="238"/>
      <c r="D127" s="238"/>
      <c r="E127" s="238"/>
    </row>
    <row r="128" ht="30.75" customHeight="1" spans="2:12">
      <c r="B128" s="239" t="s">
        <v>184</v>
      </c>
      <c r="C128" s="239" t="s">
        <v>185</v>
      </c>
      <c r="D128" s="239" t="s">
        <v>186</v>
      </c>
      <c r="E128" s="239" t="s">
        <v>187</v>
      </c>
    </row>
    <row r="129" ht="20.1" customHeight="1" spans="2:5">
      <c r="B129" s="239" t="s">
        <v>188</v>
      </c>
      <c r="C129" s="239" t="s">
        <v>189</v>
      </c>
      <c r="D129" s="239" t="s">
        <v>190</v>
      </c>
      <c r="E129" s="239">
        <v>0.005</v>
      </c>
    </row>
    <row r="130" ht="20.1" customHeight="1" spans="2:5">
      <c r="B130" s="239">
        <v>1</v>
      </c>
      <c r="C130" s="239" t="s">
        <v>153</v>
      </c>
      <c r="D130" s="239" t="s">
        <v>191</v>
      </c>
      <c r="E130" s="239">
        <v>0.008</v>
      </c>
    </row>
    <row r="131" ht="20.1" customHeight="1" spans="2:5">
      <c r="B131" s="239">
        <v>1.5</v>
      </c>
      <c r="C131" s="239" t="s">
        <v>154</v>
      </c>
      <c r="D131" s="239" t="s">
        <v>192</v>
      </c>
      <c r="E131" s="239">
        <v>0.01</v>
      </c>
    </row>
    <row r="132" ht="20.1" customHeight="1" spans="2:5">
      <c r="B132" s="239">
        <v>2</v>
      </c>
      <c r="C132" s="239" t="s">
        <v>155</v>
      </c>
      <c r="D132" s="239" t="s">
        <v>193</v>
      </c>
      <c r="E132" s="239">
        <v>0.012</v>
      </c>
    </row>
    <row r="133" ht="20.1" customHeight="1" spans="2:5">
      <c r="B133" s="239">
        <v>2.5</v>
      </c>
      <c r="C133" s="239" t="s">
        <v>156</v>
      </c>
      <c r="D133" s="239" t="s">
        <v>194</v>
      </c>
      <c r="E133" s="239">
        <v>0.014</v>
      </c>
    </row>
    <row r="134" ht="20.1" customHeight="1" spans="2:5">
      <c r="B134" s="239">
        <v>3</v>
      </c>
      <c r="C134" s="239" t="s">
        <v>157</v>
      </c>
      <c r="D134" s="239" t="s">
        <v>195</v>
      </c>
      <c r="E134" s="239">
        <v>0.016</v>
      </c>
    </row>
    <row r="135" ht="20.1" customHeight="1" spans="2:5">
      <c r="B135" s="239">
        <v>3.5</v>
      </c>
      <c r="C135" s="239" t="s">
        <v>158</v>
      </c>
      <c r="D135" s="239" t="s">
        <v>196</v>
      </c>
      <c r="E135" s="239">
        <v>0.019</v>
      </c>
    </row>
    <row r="136" ht="20.1" customHeight="1" spans="2:5">
      <c r="B136" s="239">
        <v>4</v>
      </c>
      <c r="C136" s="239" t="s">
        <v>197</v>
      </c>
      <c r="D136" s="239" t="s">
        <v>198</v>
      </c>
      <c r="E136" s="239">
        <v>0.022</v>
      </c>
    </row>
    <row r="137" ht="20.1" customHeight="1" spans="2:5">
      <c r="B137" s="239">
        <v>5</v>
      </c>
      <c r="C137" s="239" t="s">
        <v>159</v>
      </c>
      <c r="D137" s="239" t="s">
        <v>199</v>
      </c>
      <c r="E137" s="239">
        <v>0.028</v>
      </c>
    </row>
    <row r="138" ht="20.1" customHeight="1" spans="2:5">
      <c r="B138" s="239">
        <v>6</v>
      </c>
      <c r="C138" s="239" t="s">
        <v>160</v>
      </c>
      <c r="D138" s="239" t="s">
        <v>200</v>
      </c>
      <c r="E138" s="239">
        <v>0.032</v>
      </c>
    </row>
    <row r="139" ht="20.1" customHeight="1" spans="2:5">
      <c r="B139" s="239">
        <v>8</v>
      </c>
      <c r="C139" s="239" t="s">
        <v>161</v>
      </c>
      <c r="D139" s="239" t="s">
        <v>201</v>
      </c>
      <c r="E139" s="239">
        <v>0.04</v>
      </c>
    </row>
    <row r="140" ht="20.1" customHeight="1" spans="2:5">
      <c r="B140" s="239">
        <v>10</v>
      </c>
      <c r="C140" s="239" t="s">
        <v>202</v>
      </c>
      <c r="D140" s="239" t="s">
        <v>203</v>
      </c>
      <c r="E140" s="239">
        <v>0.048</v>
      </c>
    </row>
    <row r="141" ht="20.1" customHeight="1" spans="2:5">
      <c r="B141" s="239">
        <v>12</v>
      </c>
      <c r="C141" s="239" t="s">
        <v>164</v>
      </c>
      <c r="D141" s="239" t="s">
        <v>204</v>
      </c>
      <c r="E141" s="239">
        <v>0.055</v>
      </c>
    </row>
    <row r="142" ht="28.5" customHeight="1" spans="2:5">
      <c r="B142" s="239" t="s">
        <v>205</v>
      </c>
      <c r="C142" s="239"/>
      <c r="D142" s="239"/>
      <c r="E142" s="239"/>
    </row>
  </sheetData>
  <mergeCells count="57">
    <mergeCell ref="B12:J12"/>
    <mergeCell ref="C13:D13"/>
    <mergeCell ref="F13:G13"/>
    <mergeCell ref="I13:J13"/>
    <mergeCell ref="C14:D14"/>
    <mergeCell ref="F14:G14"/>
    <mergeCell ref="I14:J14"/>
    <mergeCell ref="C15:D15"/>
    <mergeCell ref="F15:G15"/>
    <mergeCell ref="I15:J15"/>
    <mergeCell ref="B17:D17"/>
    <mergeCell ref="E17:G17"/>
    <mergeCell ref="H17:J17"/>
    <mergeCell ref="B43:D43"/>
    <mergeCell ref="N53:S53"/>
    <mergeCell ref="I80:J80"/>
    <mergeCell ref="H85:J85"/>
    <mergeCell ref="B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B109:D109"/>
    <mergeCell ref="C110:D110"/>
    <mergeCell ref="C111:D111"/>
    <mergeCell ref="C112:D112"/>
    <mergeCell ref="F112:G112"/>
    <mergeCell ref="I112:J112"/>
    <mergeCell ref="C113:D113"/>
    <mergeCell ref="F113:G113"/>
    <mergeCell ref="C114:D114"/>
    <mergeCell ref="F114:G114"/>
    <mergeCell ref="C115:D115"/>
    <mergeCell ref="C116:D116"/>
    <mergeCell ref="C117:D117"/>
    <mergeCell ref="C118:D118"/>
    <mergeCell ref="C119:D119"/>
    <mergeCell ref="C120:D120"/>
    <mergeCell ref="C121:D121"/>
    <mergeCell ref="C122:D122"/>
    <mergeCell ref="C123:D123"/>
    <mergeCell ref="C124:D124"/>
    <mergeCell ref="B127:E127"/>
    <mergeCell ref="B142:E142"/>
    <mergeCell ref="B59:B66"/>
    <mergeCell ref="B67:B68"/>
    <mergeCell ref="B10:J11"/>
    <mergeCell ref="B1:J9"/>
  </mergeCells>
  <pageMargins left="0.84" right="0.45" top="0.34" bottom="0.49" header="0.12" footer="0.49"/>
  <pageSetup paperSize="9" scale="67" orientation="portrait"/>
  <headerFooter alignWithMargins="0" scaleWithDoc="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2"/>
  <sheetViews>
    <sheetView showGridLines="0" workbookViewId="0">
      <selection activeCell="AI8" sqref="AI8"/>
    </sheetView>
  </sheetViews>
  <sheetFormatPr defaultColWidth="8.625" defaultRowHeight="14.25"/>
  <cols>
    <col min="1" max="1" width="3.75" style="14" customWidth="1"/>
    <col min="2" max="2" width="11.875" style="14" customWidth="1"/>
    <col min="3" max="3" width="16" style="14" customWidth="1"/>
    <col min="4" max="4" width="10.875" style="14" customWidth="1"/>
    <col min="5" max="6" width="11.625" style="14" customWidth="1"/>
    <col min="7" max="8" width="19.875" style="14" customWidth="1"/>
    <col min="9" max="9" width="14.625" style="14" customWidth="1"/>
    <col min="10" max="10" width="15" style="14" customWidth="1"/>
    <col min="11" max="14" width="9" style="14"/>
    <col min="15" max="15" width="18.125" style="14" customWidth="1"/>
    <col min="16" max="16" width="15.75" style="14" customWidth="1"/>
    <col min="17" max="17" width="10.5" style="14" customWidth="1"/>
    <col min="18" max="18" width="10.375" style="14" customWidth="1"/>
    <col min="19" max="23" width="9" style="14"/>
    <col min="24" max="24" width="10.25" style="15" customWidth="1"/>
    <col min="25" max="25" width="12.625" style="14" customWidth="1"/>
    <col min="26" max="26" width="9" style="14"/>
    <col min="27" max="27" width="10.75" style="14" customWidth="1"/>
    <col min="28" max="32" width="9" style="14"/>
    <col min="33" max="34" width="9" style="14" customWidth="1"/>
    <col min="35" max="35" width="12.625" style="14" customWidth="1"/>
    <col min="36" max="65" width="9" style="14"/>
    <col min="66" max="16384" width="8.625" style="14"/>
  </cols>
  <sheetData>
    <row r="1" ht="18" customHeight="1" spans="1:35">
      <c r="A1" s="16" t="s">
        <v>206</v>
      </c>
      <c r="B1" s="17"/>
      <c r="C1" s="17"/>
      <c r="D1" s="17"/>
      <c r="E1" s="17"/>
      <c r="F1" s="17"/>
      <c r="G1" s="17"/>
      <c r="H1" s="17"/>
      <c r="I1" s="17"/>
      <c r="J1" s="17"/>
      <c r="K1" s="17"/>
      <c r="L1" s="17"/>
      <c r="M1" s="17"/>
      <c r="N1" s="17"/>
      <c r="O1" s="17"/>
      <c r="P1" s="17"/>
      <c r="Q1" s="17"/>
      <c r="R1" s="17"/>
      <c r="S1" s="18"/>
    </row>
    <row r="2" ht="18" customHeight="1" spans="1:35">
      <c r="A2" s="19"/>
      <c r="B2" s="20"/>
      <c r="C2" s="20"/>
      <c r="D2" s="20"/>
      <c r="E2" s="20"/>
      <c r="F2" s="20"/>
      <c r="G2" s="20"/>
      <c r="H2" s="20"/>
      <c r="I2" s="20"/>
      <c r="J2" s="20"/>
      <c r="K2" s="20"/>
      <c r="L2" s="20"/>
      <c r="M2" s="20"/>
      <c r="N2" s="20"/>
      <c r="O2" s="20"/>
      <c r="P2" s="20"/>
      <c r="Q2" s="20"/>
      <c r="R2" s="20"/>
      <c r="S2" s="21"/>
    </row>
    <row r="4" ht="24.95" customHeight="1" spans="1:35">
      <c r="B4" s="22" t="s">
        <v>207</v>
      </c>
      <c r="C4" s="22"/>
      <c r="D4" s="22"/>
      <c r="E4" s="22"/>
      <c r="F4" s="22"/>
      <c r="G4" s="22"/>
      <c r="H4" s="22"/>
      <c r="I4" s="22"/>
      <c r="J4" s="22"/>
    </row>
    <row r="5" ht="20.25" spans="1:35">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4" t="s">
        <v>208</v>
      </c>
      <c r="AE5" s="24"/>
      <c r="AF5" s="24"/>
      <c r="AG5" s="24"/>
      <c r="AH5" s="24"/>
      <c r="AI5" s="24"/>
    </row>
    <row r="6" s="13" customFormat="1" ht="42.75" spans="1:35">
      <c r="B6" s="25" t="s">
        <v>209</v>
      </c>
      <c r="C6" s="25"/>
      <c r="D6" s="25" t="s">
        <v>210</v>
      </c>
      <c r="E6" s="26" t="s">
        <v>27</v>
      </c>
      <c r="F6" s="26" t="s">
        <v>211</v>
      </c>
      <c r="G6" s="26" t="s">
        <v>212</v>
      </c>
      <c r="H6" s="26" t="s">
        <v>213</v>
      </c>
      <c r="I6" s="26" t="s">
        <v>214</v>
      </c>
      <c r="J6" s="26" t="s">
        <v>215</v>
      </c>
      <c r="K6" s="26" t="s">
        <v>216</v>
      </c>
      <c r="L6" s="26" t="s">
        <v>217</v>
      </c>
      <c r="M6" s="25" t="s">
        <v>218</v>
      </c>
      <c r="N6" s="25" t="s">
        <v>219</v>
      </c>
      <c r="O6" s="25" t="s">
        <v>220</v>
      </c>
      <c r="P6" s="25" t="s">
        <v>221</v>
      </c>
      <c r="Q6" s="25" t="s">
        <v>222</v>
      </c>
      <c r="R6" s="25" t="s">
        <v>223</v>
      </c>
      <c r="S6" s="25" t="s">
        <v>224</v>
      </c>
      <c r="T6" s="25" t="s">
        <v>225</v>
      </c>
      <c r="U6" s="25" t="s">
        <v>226</v>
      </c>
      <c r="V6" s="25" t="s">
        <v>227</v>
      </c>
      <c r="W6" s="25" t="s">
        <v>228</v>
      </c>
      <c r="X6" s="27" t="s">
        <v>229</v>
      </c>
      <c r="Y6" s="25" t="s">
        <v>230</v>
      </c>
      <c r="Z6" s="25" t="s">
        <v>231</v>
      </c>
      <c r="AA6" s="25" t="s">
        <v>232</v>
      </c>
      <c r="AB6" s="25" t="s">
        <v>233</v>
      </c>
      <c r="AC6" s="25" t="s">
        <v>234</v>
      </c>
      <c r="AD6" s="28" t="s">
        <v>235</v>
      </c>
      <c r="AE6" s="28" t="s">
        <v>236</v>
      </c>
      <c r="AF6" s="28" t="s">
        <v>237</v>
      </c>
      <c r="AG6" s="28" t="s">
        <v>238</v>
      </c>
      <c r="AH6" s="28" t="s">
        <v>239</v>
      </c>
      <c r="AI6" s="28" t="s">
        <v>240</v>
      </c>
    </row>
    <row r="7" ht="18" spans="1:35">
      <c r="B7" s="25" t="s">
        <v>241</v>
      </c>
      <c r="C7" s="25" t="s">
        <v>242</v>
      </c>
      <c r="D7" s="29"/>
      <c r="E7" s="30" t="s">
        <v>23</v>
      </c>
      <c r="F7" s="30" t="s">
        <v>102</v>
      </c>
      <c r="G7" s="30" t="s">
        <v>243</v>
      </c>
      <c r="H7" s="30" t="s">
        <v>243</v>
      </c>
      <c r="I7" s="30" t="s">
        <v>244</v>
      </c>
      <c r="J7" s="30" t="s">
        <v>23</v>
      </c>
      <c r="K7" s="30" t="s">
        <v>23</v>
      </c>
      <c r="L7" s="30" t="s">
        <v>23</v>
      </c>
      <c r="M7" s="31" t="s">
        <v>245</v>
      </c>
      <c r="N7" s="31" t="s">
        <v>246</v>
      </c>
      <c r="O7" s="31" t="s">
        <v>102</v>
      </c>
      <c r="P7" s="31" t="s">
        <v>102</v>
      </c>
      <c r="Q7" s="31" t="s">
        <v>244</v>
      </c>
      <c r="R7" s="31" t="s">
        <v>247</v>
      </c>
      <c r="S7" s="31" t="s">
        <v>248</v>
      </c>
      <c r="T7" s="29" t="s">
        <v>249</v>
      </c>
      <c r="U7" s="31" t="s">
        <v>23</v>
      </c>
      <c r="V7" s="31" t="s">
        <v>23</v>
      </c>
      <c r="W7" s="31" t="s">
        <v>23</v>
      </c>
      <c r="X7" s="32" t="s">
        <v>250</v>
      </c>
      <c r="Y7" s="31" t="s">
        <v>23</v>
      </c>
      <c r="Z7" s="31" t="s">
        <v>23</v>
      </c>
      <c r="AA7" s="31" t="s">
        <v>23</v>
      </c>
      <c r="AB7" s="31" t="s">
        <v>23</v>
      </c>
      <c r="AC7" s="31" t="s">
        <v>246</v>
      </c>
      <c r="AD7" s="29"/>
      <c r="AE7" s="29"/>
      <c r="AF7" s="29"/>
      <c r="AG7" s="31" t="s">
        <v>251</v>
      </c>
      <c r="AH7" s="33" t="s">
        <v>252</v>
      </c>
      <c r="AI7" s="31" t="s">
        <v>253</v>
      </c>
    </row>
    <row r="8" spans="1:35">
      <c r="B8" s="34" t="s">
        <v>254</v>
      </c>
      <c r="C8" s="34" t="s">
        <v>255</v>
      </c>
      <c r="D8" s="34" t="s">
        <v>256</v>
      </c>
      <c r="E8" s="35">
        <v>90</v>
      </c>
      <c r="F8" s="35">
        <v>14</v>
      </c>
      <c r="G8" s="36">
        <v>145</v>
      </c>
      <c r="H8" s="36">
        <v>346</v>
      </c>
      <c r="I8" s="35">
        <v>8</v>
      </c>
      <c r="J8" s="36">
        <v>230</v>
      </c>
      <c r="K8" s="36">
        <v>320</v>
      </c>
      <c r="L8" s="35" t="s">
        <v>257</v>
      </c>
      <c r="M8" s="37">
        <v>129</v>
      </c>
      <c r="N8" s="37">
        <v>220</v>
      </c>
      <c r="O8" s="37">
        <v>112</v>
      </c>
      <c r="P8" s="37">
        <v>14</v>
      </c>
      <c r="Q8" s="34"/>
      <c r="R8" s="37"/>
      <c r="S8" s="38"/>
      <c r="T8" s="34"/>
      <c r="U8" s="34"/>
      <c r="V8" s="34">
        <v>429</v>
      </c>
      <c r="W8" s="34">
        <v>429</v>
      </c>
      <c r="X8" s="39"/>
      <c r="Y8" s="34"/>
      <c r="Z8" s="37"/>
      <c r="AA8" s="37"/>
      <c r="AB8" s="40">
        <v>115</v>
      </c>
      <c r="AC8" s="40"/>
      <c r="AD8" s="41"/>
      <c r="AE8" s="34"/>
      <c r="AF8" s="34"/>
      <c r="AG8" s="34"/>
      <c r="AH8" s="34"/>
      <c r="AI8" s="40"/>
    </row>
    <row r="9" spans="1:35">
      <c r="B9" s="34" t="s">
        <v>254</v>
      </c>
      <c r="C9" s="34" t="s">
        <v>258</v>
      </c>
      <c r="D9" s="34" t="s">
        <v>256</v>
      </c>
      <c r="E9" s="35">
        <v>100</v>
      </c>
      <c r="F9" s="35">
        <v>14</v>
      </c>
      <c r="G9" s="42">
        <v>145</v>
      </c>
      <c r="H9" s="42">
        <v>345</v>
      </c>
      <c r="I9" s="35">
        <v>8</v>
      </c>
      <c r="J9" s="36">
        <v>235</v>
      </c>
      <c r="K9" s="36">
        <v>340</v>
      </c>
      <c r="L9" s="35" t="s">
        <v>257</v>
      </c>
      <c r="M9" s="37">
        <v>116</v>
      </c>
      <c r="N9" s="37">
        <v>270</v>
      </c>
      <c r="O9" s="37">
        <v>137</v>
      </c>
      <c r="P9" s="37">
        <v>14</v>
      </c>
      <c r="Q9" s="34"/>
      <c r="R9" s="37"/>
      <c r="S9" s="38"/>
      <c r="T9" s="34"/>
      <c r="U9" s="34"/>
      <c r="V9" s="34">
        <v>460</v>
      </c>
      <c r="W9" s="34">
        <v>460</v>
      </c>
      <c r="X9" s="39"/>
      <c r="Y9" s="34"/>
      <c r="Z9" s="37"/>
      <c r="AA9" s="37"/>
      <c r="AB9" s="40">
        <v>135</v>
      </c>
      <c r="AC9" s="40"/>
      <c r="AD9" s="41"/>
      <c r="AE9" s="34"/>
      <c r="AF9" s="34"/>
      <c r="AG9" s="34"/>
      <c r="AH9" s="34"/>
      <c r="AI9" s="40"/>
    </row>
    <row r="10" spans="1:35">
      <c r="B10" s="34" t="s">
        <v>254</v>
      </c>
      <c r="C10" s="34" t="s">
        <v>259</v>
      </c>
      <c r="D10" s="34" t="s">
        <v>256</v>
      </c>
      <c r="E10" s="35">
        <v>100</v>
      </c>
      <c r="F10" s="35">
        <v>14</v>
      </c>
      <c r="G10" s="42">
        <v>145</v>
      </c>
      <c r="H10" s="42">
        <v>345</v>
      </c>
      <c r="I10" s="35">
        <v>8</v>
      </c>
      <c r="J10" s="36">
        <v>257</v>
      </c>
      <c r="K10" s="36">
        <v>370</v>
      </c>
      <c r="L10" s="35" t="s">
        <v>260</v>
      </c>
      <c r="M10" s="37">
        <v>209</v>
      </c>
      <c r="N10" s="37">
        <v>270</v>
      </c>
      <c r="O10" s="37">
        <v>95</v>
      </c>
      <c r="P10" s="37">
        <v>14</v>
      </c>
      <c r="Q10" s="34"/>
      <c r="R10" s="37"/>
      <c r="S10" s="38"/>
      <c r="T10" s="34"/>
      <c r="U10" s="34"/>
      <c r="V10" s="34">
        <v>510</v>
      </c>
      <c r="W10" s="34">
        <v>510</v>
      </c>
      <c r="X10" s="39"/>
      <c r="Y10" s="34"/>
      <c r="Z10" s="37"/>
      <c r="AA10" s="37"/>
      <c r="AB10" s="40">
        <v>140</v>
      </c>
      <c r="AC10" s="40"/>
      <c r="AD10" s="41"/>
      <c r="AE10" s="34"/>
      <c r="AF10" s="34"/>
      <c r="AG10" s="34"/>
      <c r="AH10" s="34"/>
      <c r="AI10" s="40"/>
    </row>
    <row r="11" spans="1:35">
      <c r="B11" s="34" t="s">
        <v>254</v>
      </c>
      <c r="C11" s="34" t="s">
        <v>261</v>
      </c>
      <c r="D11" s="34" t="s">
        <v>256</v>
      </c>
      <c r="E11" s="35">
        <v>110</v>
      </c>
      <c r="F11" s="35">
        <v>14</v>
      </c>
      <c r="G11" s="42">
        <v>145</v>
      </c>
      <c r="H11" s="42">
        <v>348</v>
      </c>
      <c r="I11" s="35">
        <v>8</v>
      </c>
      <c r="J11" s="36">
        <v>290</v>
      </c>
      <c r="K11" s="36">
        <v>400</v>
      </c>
      <c r="L11" s="35" t="s">
        <v>260</v>
      </c>
      <c r="M11" s="37">
        <v>239</v>
      </c>
      <c r="N11" s="37">
        <v>330</v>
      </c>
      <c r="O11" s="37">
        <v>116</v>
      </c>
      <c r="P11" s="37">
        <v>14</v>
      </c>
      <c r="Q11" s="34"/>
      <c r="R11" s="37"/>
      <c r="S11" s="38"/>
      <c r="T11" s="34"/>
      <c r="U11" s="34"/>
      <c r="V11" s="34">
        <v>560</v>
      </c>
      <c r="W11" s="34">
        <v>560</v>
      </c>
      <c r="X11" s="39"/>
      <c r="Y11" s="34"/>
      <c r="Z11" s="37"/>
      <c r="AA11" s="37"/>
      <c r="AB11" s="40">
        <v>140</v>
      </c>
      <c r="AC11" s="40"/>
      <c r="AD11" s="41"/>
      <c r="AE11" s="34"/>
      <c r="AF11" s="34"/>
      <c r="AG11" s="34"/>
      <c r="AH11" s="34"/>
      <c r="AI11" s="40"/>
    </row>
    <row r="12" spans="1:35">
      <c r="B12" s="34" t="s">
        <v>254</v>
      </c>
      <c r="C12" s="34" t="s">
        <v>262</v>
      </c>
      <c r="D12" s="34" t="s">
        <v>256</v>
      </c>
      <c r="E12" s="35">
        <v>120</v>
      </c>
      <c r="F12" s="35">
        <v>14</v>
      </c>
      <c r="G12" s="36">
        <v>145</v>
      </c>
      <c r="H12" s="36"/>
      <c r="I12" s="35">
        <v>8</v>
      </c>
      <c r="J12" s="36">
        <v>354</v>
      </c>
      <c r="K12" s="36">
        <v>500</v>
      </c>
      <c r="L12" s="35" t="s">
        <v>263</v>
      </c>
      <c r="M12" s="37">
        <v>490</v>
      </c>
      <c r="N12" s="37">
        <v>410</v>
      </c>
      <c r="O12" s="37">
        <v>106</v>
      </c>
      <c r="P12" s="37">
        <v>14</v>
      </c>
      <c r="Q12" s="34"/>
      <c r="R12" s="37">
        <v>4.7</v>
      </c>
      <c r="S12" s="38">
        <v>400</v>
      </c>
      <c r="T12" s="34">
        <v>4</v>
      </c>
      <c r="U12" s="34">
        <v>130</v>
      </c>
      <c r="V12" s="34">
        <v>669</v>
      </c>
      <c r="W12" s="34">
        <v>669</v>
      </c>
      <c r="X12" s="39"/>
      <c r="Y12" s="34"/>
      <c r="Z12" s="37">
        <v>550</v>
      </c>
      <c r="AA12" s="37" t="s">
        <v>264</v>
      </c>
      <c r="AB12" s="40">
        <v>200</v>
      </c>
      <c r="AC12" s="40"/>
      <c r="AD12" s="41"/>
      <c r="AE12" s="34"/>
      <c r="AF12" s="34"/>
      <c r="AG12" s="34"/>
      <c r="AH12" s="34"/>
      <c r="AI12" s="40"/>
    </row>
    <row r="13" spans="1:35">
      <c r="B13" s="34" t="s">
        <v>254</v>
      </c>
      <c r="C13" s="34" t="s">
        <v>265</v>
      </c>
      <c r="D13" s="34" t="s">
        <v>256</v>
      </c>
      <c r="E13" s="35">
        <v>140</v>
      </c>
      <c r="F13" s="35">
        <v>14</v>
      </c>
      <c r="G13" s="36">
        <v>153</v>
      </c>
      <c r="H13" s="36"/>
      <c r="I13" s="35">
        <v>8</v>
      </c>
      <c r="J13" s="36">
        <v>510</v>
      </c>
      <c r="K13" s="36">
        <v>600</v>
      </c>
      <c r="L13" s="35" t="s">
        <v>266</v>
      </c>
      <c r="M13" s="37">
        <v>655</v>
      </c>
      <c r="N13" s="37">
        <v>590</v>
      </c>
      <c r="O13" s="37">
        <v>117</v>
      </c>
      <c r="P13" s="37">
        <v>14</v>
      </c>
      <c r="Q13" s="34"/>
      <c r="R13" s="37">
        <v>7.2</v>
      </c>
      <c r="S13" s="38">
        <v>630</v>
      </c>
      <c r="T13" s="34">
        <v>4</v>
      </c>
      <c r="U13" s="34">
        <v>160</v>
      </c>
      <c r="V13" s="34">
        <v>750</v>
      </c>
      <c r="W13" s="34">
        <v>750</v>
      </c>
      <c r="X13" s="39"/>
      <c r="Y13" s="34"/>
      <c r="Z13" s="37">
        <v>650</v>
      </c>
      <c r="AA13" s="37" t="s">
        <v>267</v>
      </c>
      <c r="AB13" s="40">
        <v>250</v>
      </c>
      <c r="AC13" s="40"/>
      <c r="AD13" s="41"/>
      <c r="AE13" s="34"/>
      <c r="AF13" s="34"/>
      <c r="AG13" s="34"/>
      <c r="AH13" s="34"/>
      <c r="AI13" s="40"/>
    </row>
    <row r="14" spans="1:35">
      <c r="B14" s="34" t="s">
        <v>254</v>
      </c>
      <c r="C14" s="34" t="s">
        <v>268</v>
      </c>
      <c r="D14" s="34" t="s">
        <v>256</v>
      </c>
      <c r="E14" s="35">
        <v>150</v>
      </c>
      <c r="F14" s="35">
        <v>14</v>
      </c>
      <c r="G14" s="36">
        <v>135</v>
      </c>
      <c r="H14" s="36"/>
      <c r="I14" s="35">
        <v>8</v>
      </c>
      <c r="J14" s="36">
        <v>483</v>
      </c>
      <c r="K14" s="36">
        <v>760</v>
      </c>
      <c r="L14" s="35" t="s">
        <v>269</v>
      </c>
      <c r="M14" s="37">
        <v>940</v>
      </c>
      <c r="N14" s="37">
        <v>680</v>
      </c>
      <c r="O14" s="37">
        <v>106</v>
      </c>
      <c r="P14" s="37">
        <v>14</v>
      </c>
      <c r="Q14" s="34"/>
      <c r="R14" s="37">
        <v>11.2</v>
      </c>
      <c r="S14" s="38">
        <v>800</v>
      </c>
      <c r="T14" s="34">
        <v>4</v>
      </c>
      <c r="U14" s="34">
        <v>180</v>
      </c>
      <c r="V14" s="34">
        <v>910</v>
      </c>
      <c r="W14" s="34">
        <v>910</v>
      </c>
      <c r="X14" s="39"/>
      <c r="Y14" s="34"/>
      <c r="Z14" s="37">
        <v>760</v>
      </c>
      <c r="AA14" s="37" t="s">
        <v>270</v>
      </c>
      <c r="AB14" s="40">
        <v>295</v>
      </c>
      <c r="AC14" s="40"/>
      <c r="AD14" s="41"/>
      <c r="AE14" s="34"/>
      <c r="AF14" s="34"/>
      <c r="AG14" s="34"/>
      <c r="AH14" s="34"/>
      <c r="AI14" s="40"/>
    </row>
    <row r="15" spans="1:35">
      <c r="B15" s="34" t="s">
        <v>254</v>
      </c>
      <c r="C15" s="34" t="s">
        <v>271</v>
      </c>
      <c r="D15" s="34" t="s">
        <v>256</v>
      </c>
      <c r="E15" s="35">
        <v>160</v>
      </c>
      <c r="F15" s="35">
        <v>14</v>
      </c>
      <c r="G15" s="36">
        <v>154</v>
      </c>
      <c r="H15" s="36"/>
      <c r="I15" s="35">
        <v>8</v>
      </c>
      <c r="J15" s="36">
        <v>483</v>
      </c>
      <c r="K15" s="36">
        <v>760</v>
      </c>
      <c r="L15" s="35" t="s">
        <v>269</v>
      </c>
      <c r="M15" s="37">
        <v>1187</v>
      </c>
      <c r="N15" s="37">
        <v>775</v>
      </c>
      <c r="O15" s="37">
        <v>98</v>
      </c>
      <c r="P15" s="37">
        <v>14</v>
      </c>
      <c r="Q15" s="34"/>
      <c r="R15" s="37">
        <v>13.9</v>
      </c>
      <c r="S15" s="38">
        <v>900</v>
      </c>
      <c r="T15" s="34">
        <v>4</v>
      </c>
      <c r="U15" s="34">
        <v>190</v>
      </c>
      <c r="V15" s="34">
        <v>930</v>
      </c>
      <c r="W15" s="34">
        <v>930</v>
      </c>
      <c r="X15" s="39"/>
      <c r="Y15" s="34"/>
      <c r="Z15" s="37">
        <v>800</v>
      </c>
      <c r="AA15" s="37" t="s">
        <v>272</v>
      </c>
      <c r="AB15" s="40">
        <v>300</v>
      </c>
      <c r="AC15" s="40"/>
      <c r="AD15" s="41"/>
      <c r="AE15" s="34"/>
      <c r="AF15" s="34"/>
      <c r="AG15" s="34"/>
      <c r="AH15" s="34"/>
      <c r="AI15" s="40"/>
    </row>
    <row r="16" spans="1:35">
      <c r="B16" s="34" t="s">
        <v>254</v>
      </c>
      <c r="C16" s="34" t="s">
        <v>273</v>
      </c>
      <c r="D16" s="34" t="s">
        <v>256</v>
      </c>
      <c r="E16" s="35">
        <v>180</v>
      </c>
      <c r="F16" s="35">
        <v>16</v>
      </c>
      <c r="G16" s="36">
        <v>152</v>
      </c>
      <c r="H16" s="36"/>
      <c r="I16" s="35">
        <v>8</v>
      </c>
      <c r="J16" s="36">
        <v>483</v>
      </c>
      <c r="K16" s="36"/>
      <c r="L16" s="35" t="s">
        <v>274</v>
      </c>
      <c r="M16" s="37">
        <v>1142</v>
      </c>
      <c r="N16" s="37">
        <v>970</v>
      </c>
      <c r="O16" s="37"/>
      <c r="P16" s="37">
        <v>16</v>
      </c>
      <c r="Q16" s="34"/>
      <c r="R16" s="37">
        <v>16.7</v>
      </c>
      <c r="S16" s="38">
        <v>1000</v>
      </c>
      <c r="T16" s="34">
        <v>4</v>
      </c>
      <c r="U16" s="34">
        <v>210</v>
      </c>
      <c r="V16" s="34">
        <v>890</v>
      </c>
      <c r="W16" s="34">
        <v>910</v>
      </c>
      <c r="X16" s="39"/>
      <c r="Y16" s="34"/>
      <c r="Z16" s="37">
        <v>750</v>
      </c>
      <c r="AA16" s="37" t="s">
        <v>275</v>
      </c>
      <c r="AB16" s="40">
        <v>300</v>
      </c>
      <c r="AC16" s="40"/>
      <c r="AD16" s="41"/>
      <c r="AE16" s="34"/>
      <c r="AF16" s="34"/>
      <c r="AG16" s="34"/>
      <c r="AH16" s="34"/>
      <c r="AI16" s="40"/>
    </row>
    <row r="17" spans="2:35">
      <c r="B17" s="34" t="s">
        <v>254</v>
      </c>
      <c r="C17" s="34" t="s">
        <v>276</v>
      </c>
      <c r="D17" s="34" t="s">
        <v>256</v>
      </c>
      <c r="E17" s="35">
        <v>170</v>
      </c>
      <c r="F17" s="35">
        <v>16</v>
      </c>
      <c r="G17" s="36">
        <v>136</v>
      </c>
      <c r="H17" s="36"/>
      <c r="I17" s="35">
        <v>8</v>
      </c>
      <c r="J17" s="36">
        <v>525</v>
      </c>
      <c r="K17" s="36"/>
      <c r="L17" s="35" t="s">
        <v>274</v>
      </c>
      <c r="M17" s="37">
        <v>1305</v>
      </c>
      <c r="N17" s="37">
        <v>865</v>
      </c>
      <c r="O17" s="37"/>
      <c r="P17" s="37">
        <v>16</v>
      </c>
      <c r="Q17" s="34"/>
      <c r="R17" s="37">
        <v>16.9</v>
      </c>
      <c r="S17" s="38">
        <v>1000</v>
      </c>
      <c r="T17" s="34">
        <v>4</v>
      </c>
      <c r="U17" s="34">
        <v>200</v>
      </c>
      <c r="V17" s="34">
        <v>1030</v>
      </c>
      <c r="W17" s="34">
        <v>1030</v>
      </c>
      <c r="X17" s="39"/>
      <c r="Y17" s="34"/>
      <c r="Z17" s="37">
        <v>880</v>
      </c>
      <c r="AA17" s="37" t="s">
        <v>277</v>
      </c>
      <c r="AB17" s="40">
        <v>300</v>
      </c>
      <c r="AC17" s="40"/>
      <c r="AD17" s="41"/>
      <c r="AE17" s="34"/>
      <c r="AF17" s="34"/>
      <c r="AG17" s="34"/>
      <c r="AH17" s="34"/>
      <c r="AI17" s="40"/>
    </row>
    <row r="18" spans="2:35">
      <c r="B18" s="34" t="s">
        <v>254</v>
      </c>
      <c r="C18" s="34" t="s">
        <v>278</v>
      </c>
      <c r="D18" s="34" t="s">
        <v>256</v>
      </c>
      <c r="E18" s="35">
        <v>200</v>
      </c>
      <c r="F18" s="35">
        <v>16</v>
      </c>
      <c r="G18" s="36">
        <v>137</v>
      </c>
      <c r="H18" s="36"/>
      <c r="I18" s="35">
        <v>8</v>
      </c>
      <c r="J18" s="36">
        <v>590</v>
      </c>
      <c r="K18" s="36"/>
      <c r="L18" s="35" t="s">
        <v>274</v>
      </c>
      <c r="M18" s="37">
        <v>1785</v>
      </c>
      <c r="N18" s="37">
        <v>1075</v>
      </c>
      <c r="O18" s="37"/>
      <c r="P18" s="37">
        <v>16</v>
      </c>
      <c r="Q18" s="34"/>
      <c r="R18" s="37">
        <v>25.4</v>
      </c>
      <c r="S18" s="38">
        <v>1250</v>
      </c>
      <c r="T18" s="34">
        <v>4</v>
      </c>
      <c r="U18" s="34">
        <v>230</v>
      </c>
      <c r="V18" s="34">
        <v>1100</v>
      </c>
      <c r="W18" s="34">
        <v>1100</v>
      </c>
      <c r="X18" s="39"/>
      <c r="Y18" s="34"/>
      <c r="Z18" s="37">
        <v>1000</v>
      </c>
      <c r="AA18" s="37" t="s">
        <v>279</v>
      </c>
      <c r="AB18" s="40">
        <v>320</v>
      </c>
      <c r="AC18" s="40"/>
      <c r="AD18" s="41"/>
      <c r="AE18" s="34"/>
      <c r="AF18" s="34"/>
      <c r="AG18" s="34"/>
      <c r="AH18" s="34"/>
      <c r="AI18" s="40"/>
    </row>
    <row r="19" spans="2:35">
      <c r="B19" s="34" t="s">
        <v>254</v>
      </c>
      <c r="C19" s="34" t="s">
        <v>280</v>
      </c>
      <c r="D19" s="34" t="s">
        <v>256</v>
      </c>
      <c r="E19" s="35">
        <v>210</v>
      </c>
      <c r="F19" s="35">
        <v>16</v>
      </c>
      <c r="G19" s="36">
        <v>137</v>
      </c>
      <c r="H19" s="36"/>
      <c r="I19" s="35">
        <v>8</v>
      </c>
      <c r="J19" s="36">
        <v>600</v>
      </c>
      <c r="K19" s="36"/>
      <c r="L19" s="35" t="s">
        <v>281</v>
      </c>
      <c r="M19" s="37">
        <v>2190</v>
      </c>
      <c r="N19" s="37">
        <v>1285</v>
      </c>
      <c r="O19" s="37"/>
      <c r="P19" s="37">
        <v>16</v>
      </c>
      <c r="Q19" s="34"/>
      <c r="R19" s="37">
        <v>32</v>
      </c>
      <c r="S19" s="38">
        <v>1600</v>
      </c>
      <c r="T19" s="34">
        <v>4</v>
      </c>
      <c r="U19" s="34">
        <v>250</v>
      </c>
      <c r="V19" s="34">
        <v>1180</v>
      </c>
      <c r="W19" s="34">
        <v>1180</v>
      </c>
      <c r="X19" s="39"/>
      <c r="Y19" s="34"/>
      <c r="Z19" s="37">
        <v>1200</v>
      </c>
      <c r="AA19" s="37" t="s">
        <v>282</v>
      </c>
      <c r="AB19" s="40">
        <v>360</v>
      </c>
      <c r="AC19" s="40"/>
      <c r="AD19" s="41"/>
      <c r="AE19" s="34"/>
      <c r="AF19" s="34"/>
      <c r="AG19" s="34"/>
      <c r="AH19" s="34"/>
      <c r="AI19" s="40"/>
    </row>
    <row r="32" spans="2:35">
      <c r="J32" s="43"/>
    </row>
  </sheetData>
  <mergeCells count="4">
    <mergeCell ref="B4:J4"/>
    <mergeCell ref="S5:AC5"/>
    <mergeCell ref="AD5:AI5"/>
    <mergeCell ref="A1:O2"/>
  </mergeCells>
  <pageMargins left="0.75" right="0.75" top="1" bottom="1" header="0.5" footer="0.5"/>
  <pageSetup paperSize="9" scale="52" orientation="portrait"/>
  <headerFooter alignWithMargins="0" scaleWithDoc="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AC158"/>
  <sheetViews>
    <sheetView tabSelected="1" workbookViewId="0">
      <selection activeCell="N21" sqref="N21"/>
    </sheetView>
  </sheetViews>
  <sheetFormatPr defaultColWidth="8.625" defaultRowHeight="14.25"/>
  <cols>
    <col min="4" max="4" width="17.375" customWidth="1"/>
    <col min="5" max="5" width="23.375" customWidth="1"/>
  </cols>
  <sheetData>
    <row r="1" s="1" customFormat="1" spans="2:27">
      <c r="M1" s="2"/>
      <c r="N1" s="3"/>
      <c r="O1" s="2"/>
      <c r="P1" s="2"/>
      <c r="Q1" s="2"/>
      <c r="R1" s="2"/>
      <c r="S1" s="2"/>
      <c r="T1" s="2"/>
      <c r="U1" s="3"/>
      <c r="V1" s="3"/>
      <c r="W1" s="3"/>
      <c r="X1" s="3"/>
      <c r="Y1" s="2"/>
      <c r="Z1" s="2"/>
      <c r="AA1" s="2"/>
    </row>
    <row r="2" s="1" customFormat="1" ht="22.5" spans="2:27">
      <c r="B2" s="4" t="s">
        <v>283</v>
      </c>
      <c r="C2" s="4"/>
      <c r="D2" s="4"/>
      <c r="E2" s="4"/>
      <c r="F2" s="4"/>
      <c r="G2" s="4"/>
      <c r="H2" s="4"/>
      <c r="I2" s="4"/>
      <c r="M2" s="2"/>
      <c r="N2" s="3"/>
      <c r="O2" s="2"/>
      <c r="P2" s="2"/>
      <c r="Q2" s="2"/>
      <c r="R2" s="2"/>
      <c r="S2" s="2"/>
      <c r="T2" s="2"/>
      <c r="U2" s="3"/>
      <c r="V2" s="3"/>
      <c r="W2" s="3"/>
      <c r="X2" s="3"/>
      <c r="Y2" s="2"/>
      <c r="Z2" s="2"/>
      <c r="AA2" s="2"/>
    </row>
    <row r="3" s="1" customFormat="1" spans="2:27">
      <c r="B3" s="5" t="s">
        <v>284</v>
      </c>
      <c r="C3" s="6"/>
      <c r="D3" s="6"/>
      <c r="E3" s="6"/>
      <c r="F3" s="6"/>
      <c r="G3" s="6"/>
      <c r="H3" s="6"/>
      <c r="I3" s="6"/>
      <c r="J3" s="6"/>
      <c r="K3" s="6"/>
      <c r="L3" s="6"/>
      <c r="M3" s="2"/>
      <c r="N3" s="3"/>
      <c r="O3" s="2"/>
      <c r="P3" s="2"/>
      <c r="Q3" s="2"/>
      <c r="R3" s="2"/>
      <c r="S3" s="2"/>
      <c r="T3" s="2"/>
      <c r="U3" s="3"/>
      <c r="V3" s="3"/>
      <c r="W3" s="3"/>
      <c r="X3" s="3"/>
      <c r="Y3" s="2"/>
      <c r="Z3" s="2"/>
      <c r="AA3" s="2"/>
    </row>
    <row r="4" s="1" customFormat="1" spans="2:27">
      <c r="B4" s="6"/>
      <c r="C4" s="6"/>
      <c r="D4" s="6"/>
      <c r="E4" s="6"/>
      <c r="F4" s="6"/>
      <c r="G4" s="6"/>
      <c r="H4" s="6"/>
      <c r="I4" s="6"/>
      <c r="J4" s="6"/>
      <c r="K4" s="6"/>
      <c r="L4" s="6"/>
      <c r="M4" s="2"/>
      <c r="N4" s="3"/>
      <c r="O4" s="2"/>
      <c r="P4" s="2"/>
      <c r="Q4" s="2"/>
      <c r="R4" s="2"/>
      <c r="S4" s="2"/>
      <c r="T4" s="2"/>
      <c r="U4" s="3"/>
      <c r="V4" s="3"/>
      <c r="W4" s="3"/>
      <c r="X4" s="3"/>
      <c r="Y4" s="2"/>
      <c r="Z4" s="2"/>
      <c r="AA4" s="2"/>
    </row>
    <row r="5" s="1" customFormat="1" spans="2:27">
      <c r="B5" s="6"/>
      <c r="C5" s="6"/>
      <c r="D5" s="6"/>
      <c r="E5" s="6"/>
      <c r="F5" s="6"/>
      <c r="G5" s="6"/>
      <c r="H5" s="6"/>
      <c r="I5" s="6"/>
      <c r="J5" s="6"/>
      <c r="K5" s="6"/>
      <c r="L5" s="6"/>
      <c r="M5" s="2"/>
      <c r="N5" s="3"/>
      <c r="O5" s="2"/>
      <c r="P5" s="2"/>
      <c r="Q5" s="2"/>
      <c r="R5" s="2"/>
      <c r="S5" s="2"/>
      <c r="T5" s="2"/>
      <c r="U5" s="3"/>
      <c r="V5" s="3"/>
      <c r="W5" s="3"/>
      <c r="X5" s="3"/>
      <c r="Y5" s="2"/>
      <c r="Z5" s="2"/>
      <c r="AA5" s="2"/>
    </row>
    <row r="6" s="1" customFormat="1" spans="2:27">
      <c r="B6" s="6"/>
      <c r="C6" s="6"/>
      <c r="D6" s="6"/>
      <c r="E6" s="6"/>
      <c r="F6" s="6"/>
      <c r="G6" s="6"/>
      <c r="H6" s="6"/>
      <c r="I6" s="6"/>
      <c r="J6" s="6"/>
      <c r="K6" s="6"/>
      <c r="L6" s="6"/>
      <c r="M6" s="2"/>
      <c r="N6" s="3"/>
      <c r="O6" s="2"/>
      <c r="P6" s="2"/>
      <c r="Q6" s="2"/>
      <c r="R6" s="2"/>
      <c r="S6" s="2"/>
      <c r="T6" s="2"/>
      <c r="U6" s="3"/>
      <c r="V6" s="3"/>
      <c r="W6" s="3"/>
      <c r="X6" s="3"/>
      <c r="Y6" s="2"/>
      <c r="Z6" s="2"/>
      <c r="AA6" s="2"/>
    </row>
    <row r="7" s="1" customFormat="1" spans="2:27">
      <c r="B7" s="6"/>
      <c r="C7" s="6"/>
      <c r="D7" s="6"/>
      <c r="E7" s="6"/>
      <c r="F7" s="6"/>
      <c r="G7" s="6"/>
      <c r="H7" s="6"/>
      <c r="I7" s="6"/>
      <c r="J7" s="6"/>
      <c r="K7" s="6"/>
      <c r="L7" s="6"/>
      <c r="M7" s="2"/>
      <c r="N7" s="3"/>
      <c r="O7" s="2"/>
      <c r="P7" s="2"/>
      <c r="Q7" s="2"/>
      <c r="R7" s="2"/>
      <c r="S7" s="2"/>
      <c r="T7" s="2"/>
      <c r="U7" s="3"/>
      <c r="V7" s="3"/>
      <c r="W7" s="3"/>
      <c r="X7" s="3"/>
      <c r="Y7" s="2"/>
      <c r="Z7" s="2"/>
      <c r="AA7" s="2"/>
    </row>
    <row r="8" s="1" customFormat="1" spans="2:27">
      <c r="B8" s="6"/>
      <c r="C8" s="6"/>
      <c r="D8" s="6"/>
      <c r="E8" s="6"/>
      <c r="F8" s="6"/>
      <c r="G8" s="6"/>
      <c r="H8" s="6"/>
      <c r="I8" s="6"/>
      <c r="J8" s="6"/>
      <c r="K8" s="6"/>
      <c r="L8" s="6"/>
      <c r="M8" s="2"/>
      <c r="N8" s="3"/>
      <c r="O8" s="2"/>
      <c r="P8" s="2"/>
      <c r="Q8" s="2"/>
      <c r="R8" s="2"/>
      <c r="S8" s="2"/>
      <c r="T8" s="2"/>
      <c r="U8" s="3"/>
      <c r="V8" s="3"/>
      <c r="W8" s="3"/>
      <c r="X8" s="3"/>
      <c r="Y8" s="2"/>
      <c r="Z8" s="2"/>
      <c r="AA8" s="2"/>
    </row>
    <row r="9" s="1" customFormat="1" spans="2:27">
      <c r="B9" s="6"/>
      <c r="C9" s="6"/>
      <c r="D9" s="6"/>
      <c r="E9" s="6"/>
      <c r="F9" s="6"/>
      <c r="G9" s="6"/>
      <c r="H9" s="6"/>
      <c r="I9" s="6"/>
      <c r="J9" s="6"/>
      <c r="K9" s="6"/>
      <c r="L9" s="6"/>
      <c r="M9" s="2"/>
      <c r="N9" s="3"/>
      <c r="O9" s="2"/>
      <c r="P9" s="2"/>
      <c r="Q9" s="2"/>
      <c r="R9" s="2"/>
      <c r="S9" s="2"/>
      <c r="T9" s="2"/>
      <c r="U9" s="3"/>
      <c r="V9" s="3"/>
      <c r="W9" s="3"/>
      <c r="X9" s="3"/>
      <c r="Y9" s="2"/>
      <c r="Z9" s="2"/>
      <c r="AA9" s="2"/>
    </row>
    <row r="10" s="1" customFormat="1" spans="2:27">
      <c r="B10" s="6"/>
      <c r="C10" s="6"/>
      <c r="D10" s="6"/>
      <c r="E10" s="6"/>
      <c r="F10" s="6"/>
      <c r="G10" s="6"/>
      <c r="H10" s="6"/>
      <c r="I10" s="6"/>
      <c r="J10" s="6"/>
      <c r="K10" s="6"/>
      <c r="L10" s="6"/>
      <c r="M10" s="2"/>
      <c r="N10" s="3"/>
      <c r="O10" s="2"/>
      <c r="P10" s="2"/>
      <c r="Q10" s="2"/>
      <c r="R10" s="2"/>
      <c r="S10" s="2"/>
      <c r="T10" s="2"/>
      <c r="U10" s="3"/>
      <c r="V10" s="3"/>
      <c r="W10" s="3"/>
      <c r="X10" s="3"/>
      <c r="Y10" s="2"/>
      <c r="Z10" s="2"/>
      <c r="AA10" s="2"/>
    </row>
    <row r="11" s="1" customFormat="1" spans="2:27">
      <c r="B11" s="6"/>
      <c r="C11" s="6"/>
      <c r="D11" s="6"/>
      <c r="E11" s="6"/>
      <c r="F11" s="6"/>
      <c r="G11" s="6"/>
      <c r="H11" s="6"/>
      <c r="I11" s="6"/>
      <c r="J11" s="6"/>
      <c r="K11" s="6"/>
      <c r="L11" s="6"/>
      <c r="M11" s="2"/>
      <c r="N11" s="3"/>
      <c r="O11" s="2"/>
      <c r="P11" s="2"/>
      <c r="Q11" s="2"/>
      <c r="R11" s="2"/>
      <c r="S11" s="2"/>
      <c r="T11" s="2"/>
      <c r="U11" s="3"/>
      <c r="V11" s="3"/>
      <c r="W11" s="3"/>
      <c r="X11" s="3"/>
      <c r="Y11" s="2"/>
      <c r="Z11" s="2"/>
      <c r="AA11" s="2"/>
    </row>
    <row r="12" s="1" customFormat="1" spans="2:27">
      <c r="B12" s="6"/>
      <c r="C12" s="6"/>
      <c r="D12" s="6"/>
      <c r="E12" s="6"/>
      <c r="F12" s="6"/>
      <c r="G12" s="6"/>
      <c r="H12" s="6"/>
      <c r="I12" s="6"/>
      <c r="J12" s="6"/>
      <c r="K12" s="6"/>
      <c r="L12" s="6"/>
      <c r="M12" s="2"/>
      <c r="N12" s="3"/>
      <c r="O12" s="2"/>
      <c r="P12" s="2"/>
      <c r="Q12" s="2"/>
      <c r="R12" s="2"/>
      <c r="S12" s="2"/>
      <c r="T12" s="2"/>
      <c r="U12" s="3"/>
      <c r="V12" s="3"/>
      <c r="W12" s="3"/>
      <c r="X12" s="3"/>
      <c r="Y12" s="2"/>
      <c r="Z12" s="2"/>
      <c r="AA12" s="2"/>
    </row>
    <row r="13" s="1" customFormat="1" spans="2:27">
      <c r="B13" s="6"/>
      <c r="C13" s="6"/>
      <c r="D13" s="6"/>
      <c r="E13" s="6"/>
      <c r="F13" s="6"/>
      <c r="G13" s="6"/>
      <c r="H13" s="6"/>
      <c r="I13" s="6"/>
      <c r="J13" s="6"/>
      <c r="K13" s="6"/>
      <c r="L13" s="6"/>
      <c r="M13" s="2"/>
      <c r="N13" s="3"/>
      <c r="O13" s="2"/>
      <c r="P13" s="2"/>
      <c r="Q13" s="2"/>
      <c r="R13" s="2"/>
      <c r="S13" s="2"/>
      <c r="T13" s="2"/>
      <c r="U13" s="3"/>
      <c r="V13" s="3"/>
      <c r="W13" s="3"/>
      <c r="X13" s="3"/>
      <c r="Y13" s="2"/>
      <c r="Z13" s="2"/>
      <c r="AA13" s="2"/>
    </row>
    <row r="14" s="1" customFormat="1" spans="2:27">
      <c r="B14" s="6"/>
      <c r="C14" s="6"/>
      <c r="D14" s="6"/>
      <c r="E14" s="6"/>
      <c r="F14" s="6"/>
      <c r="G14" s="6"/>
      <c r="H14" s="6"/>
      <c r="I14" s="6"/>
      <c r="J14" s="6"/>
      <c r="K14" s="6"/>
      <c r="L14" s="6"/>
      <c r="M14" s="2"/>
      <c r="N14" s="3"/>
      <c r="O14" s="2"/>
      <c r="P14" s="2"/>
      <c r="Q14" s="2"/>
      <c r="R14" s="2"/>
      <c r="S14" s="2"/>
      <c r="T14" s="2"/>
      <c r="U14" s="3"/>
      <c r="V14" s="3"/>
      <c r="W14" s="3"/>
      <c r="X14" s="3"/>
      <c r="Y14" s="2"/>
      <c r="Z14" s="2"/>
      <c r="AA14" s="2"/>
    </row>
    <row r="15" s="1" customFormat="1" spans="2:27">
      <c r="B15" s="6"/>
      <c r="C15" s="6"/>
      <c r="D15" s="6"/>
      <c r="E15" s="6"/>
      <c r="F15" s="6"/>
      <c r="G15" s="6"/>
      <c r="H15" s="6"/>
      <c r="I15" s="6"/>
      <c r="J15" s="6"/>
      <c r="K15" s="6"/>
      <c r="L15" s="6"/>
      <c r="M15" s="2"/>
      <c r="N15" s="3"/>
      <c r="O15" s="2"/>
      <c r="P15" s="2"/>
      <c r="Q15" s="2"/>
      <c r="R15" s="2"/>
      <c r="S15" s="2"/>
      <c r="T15" s="2"/>
      <c r="U15" s="3"/>
      <c r="V15" s="3"/>
      <c r="W15" s="3"/>
      <c r="X15" s="3"/>
      <c r="Y15" s="2"/>
      <c r="Z15" s="2"/>
      <c r="AA15" s="2"/>
    </row>
    <row r="16" s="1" customFormat="1" spans="2:27">
      <c r="B16" s="6"/>
      <c r="C16" s="6"/>
      <c r="D16" s="6"/>
      <c r="E16" s="6"/>
      <c r="F16" s="6"/>
      <c r="G16" s="6"/>
      <c r="H16" s="6"/>
      <c r="I16" s="6"/>
      <c r="J16" s="6"/>
      <c r="K16" s="6"/>
      <c r="L16" s="6"/>
      <c r="M16" s="2"/>
      <c r="N16" s="3"/>
      <c r="O16" s="2"/>
      <c r="P16" s="2"/>
      <c r="Q16" s="2"/>
      <c r="R16" s="2"/>
      <c r="S16" s="2"/>
      <c r="T16" s="2"/>
      <c r="U16" s="3"/>
      <c r="V16" s="3"/>
      <c r="W16" s="3"/>
      <c r="X16" s="3"/>
      <c r="Y16" s="2"/>
      <c r="Z16" s="2"/>
      <c r="AA16" s="2"/>
    </row>
    <row r="17" s="1" customFormat="1" spans="2:29">
      <c r="B17" s="6"/>
      <c r="C17" s="6"/>
      <c r="D17" s="6"/>
      <c r="E17" s="6"/>
      <c r="F17" s="6"/>
      <c r="G17" s="6"/>
      <c r="H17" s="6"/>
      <c r="I17" s="6"/>
      <c r="J17" s="6"/>
      <c r="K17" s="6"/>
      <c r="L17" s="6"/>
      <c r="M17" s="2"/>
      <c r="N17" s="3"/>
      <c r="O17" s="2"/>
      <c r="P17" s="2"/>
      <c r="Q17" s="2"/>
      <c r="R17" s="2"/>
      <c r="S17" s="2"/>
      <c r="T17" s="2"/>
      <c r="U17" s="3"/>
      <c r="V17" s="3"/>
      <c r="W17" s="3"/>
      <c r="X17" s="3"/>
      <c r="Y17" s="2"/>
      <c r="Z17" s="2"/>
      <c r="AA17" s="2"/>
    </row>
    <row r="18" s="1" customFormat="1" spans="2:29">
      <c r="B18" s="6"/>
      <c r="C18" s="6"/>
      <c r="D18" s="6"/>
      <c r="E18" s="6"/>
      <c r="F18" s="6"/>
      <c r="G18" s="6"/>
      <c r="H18" s="6"/>
      <c r="I18" s="6"/>
      <c r="J18" s="6"/>
      <c r="K18" s="6"/>
      <c r="L18" s="6"/>
      <c r="M18" s="2"/>
      <c r="N18" s="3"/>
      <c r="O18" s="2"/>
      <c r="P18" s="2"/>
      <c r="Q18" s="2"/>
      <c r="R18" s="2"/>
      <c r="S18" s="2"/>
      <c r="T18" s="2"/>
      <c r="U18" s="3"/>
      <c r="V18" s="3"/>
      <c r="W18" s="3"/>
      <c r="X18" s="3"/>
      <c r="Y18" s="2"/>
      <c r="Z18" s="2"/>
      <c r="AA18" s="2"/>
    </row>
    <row r="19" s="1" customFormat="1" spans="2:29">
      <c r="B19" s="6"/>
      <c r="C19" s="6"/>
      <c r="D19" s="6"/>
      <c r="E19" s="6"/>
      <c r="F19" s="6"/>
      <c r="G19" s="6"/>
      <c r="H19" s="6"/>
      <c r="I19" s="6"/>
      <c r="J19" s="6"/>
      <c r="K19" s="6"/>
      <c r="L19" s="6"/>
      <c r="M19" s="2"/>
      <c r="N19" s="3"/>
      <c r="O19" s="2"/>
      <c r="P19" s="2"/>
      <c r="Q19" s="2"/>
      <c r="R19" s="2"/>
      <c r="S19" s="2"/>
      <c r="T19" s="2"/>
      <c r="U19" s="3"/>
      <c r="V19" s="3"/>
      <c r="W19" s="3"/>
      <c r="X19" s="3"/>
      <c r="Y19" s="2"/>
      <c r="Z19" s="2"/>
      <c r="AA19" s="2"/>
    </row>
    <row r="20" s="1" customFormat="1" spans="2:29">
      <c r="B20" s="6"/>
      <c r="C20" s="6"/>
      <c r="D20" s="6"/>
      <c r="E20" s="6"/>
      <c r="F20" s="6"/>
      <c r="G20" s="6"/>
      <c r="H20" s="6"/>
      <c r="I20" s="6"/>
      <c r="J20" s="6"/>
      <c r="K20" s="6"/>
      <c r="L20" s="6"/>
      <c r="M20" s="2"/>
      <c r="N20" s="3"/>
      <c r="O20" s="2"/>
      <c r="P20" s="2"/>
      <c r="Q20" s="2"/>
      <c r="R20" s="2"/>
      <c r="S20" s="2"/>
      <c r="T20" s="2"/>
      <c r="U20" s="3"/>
      <c r="V20" s="3"/>
      <c r="W20" s="3"/>
      <c r="X20" s="3"/>
      <c r="Y20" s="2"/>
      <c r="Z20" s="2"/>
      <c r="AA20" s="2"/>
    </row>
    <row r="21" s="1" customFormat="1" ht="18.95" customHeight="1" spans="2:29">
      <c r="B21" s="6"/>
      <c r="C21" s="6"/>
      <c r="D21" s="6"/>
      <c r="E21" s="6"/>
      <c r="F21" s="6"/>
      <c r="G21" s="6"/>
      <c r="H21" s="6"/>
      <c r="I21" s="6"/>
      <c r="J21" s="6"/>
      <c r="K21" s="6"/>
      <c r="L21" s="6"/>
      <c r="M21" s="2"/>
      <c r="N21" s="3"/>
      <c r="O21" s="2"/>
      <c r="P21" s="2"/>
      <c r="Q21" s="2"/>
      <c r="R21" s="2"/>
      <c r="S21" s="2"/>
      <c r="T21" s="2"/>
      <c r="U21" s="3"/>
      <c r="V21" s="3"/>
      <c r="W21" s="3"/>
      <c r="X21" s="3"/>
      <c r="Y21" s="2"/>
      <c r="Z21" s="2"/>
      <c r="AA21" s="2"/>
    </row>
    <row r="22" s="1" customFormat="1" customHeight="1" spans="2:29">
      <c r="B22" s="6"/>
      <c r="C22" s="6"/>
      <c r="D22" s="6"/>
      <c r="E22" s="6"/>
      <c r="F22" s="6"/>
      <c r="G22" s="6"/>
      <c r="H22" s="6"/>
      <c r="I22" s="6"/>
      <c r="J22" s="6"/>
      <c r="K22" s="6"/>
      <c r="L22" s="6"/>
      <c r="Q22" s="2"/>
      <c r="R22" s="2"/>
      <c r="S22" s="2"/>
      <c r="T22" s="2"/>
      <c r="U22" s="3"/>
      <c r="V22" s="3"/>
      <c r="W22" s="3"/>
      <c r="X22" s="3"/>
      <c r="Y22" s="2"/>
      <c r="Z22" s="2"/>
      <c r="AA22" s="2"/>
    </row>
    <row r="23" s="1" customFormat="1" spans="2:29">
      <c r="B23" s="6"/>
      <c r="C23" s="6"/>
      <c r="D23" s="6"/>
      <c r="E23" s="6"/>
      <c r="F23" s="6"/>
      <c r="G23" s="6"/>
      <c r="H23" s="6"/>
      <c r="I23" s="6"/>
      <c r="J23" s="6"/>
      <c r="K23" s="6"/>
      <c r="L23" s="6"/>
      <c r="Q23" s="2"/>
      <c r="R23" s="2"/>
      <c r="S23" s="2"/>
      <c r="T23" s="2"/>
      <c r="U23" s="3"/>
      <c r="V23" s="3"/>
      <c r="W23" s="3"/>
      <c r="X23" s="3"/>
      <c r="Y23" s="2"/>
      <c r="Z23" s="2"/>
      <c r="AA23" s="2"/>
    </row>
    <row r="24" s="1" customFormat="1" spans="2:29">
      <c r="B24" s="6"/>
      <c r="C24" s="6"/>
      <c r="D24" s="6"/>
      <c r="E24" s="6"/>
      <c r="F24" s="6"/>
      <c r="G24" s="6"/>
      <c r="H24" s="6"/>
      <c r="I24" s="6"/>
      <c r="J24" s="6"/>
      <c r="K24" s="6"/>
      <c r="L24" s="6"/>
      <c r="Q24" s="2"/>
      <c r="R24" s="2"/>
      <c r="S24" s="2"/>
      <c r="T24" s="2"/>
      <c r="U24" s="3"/>
      <c r="V24" s="3"/>
      <c r="W24" s="3"/>
      <c r="X24" s="3"/>
      <c r="Y24" s="2"/>
      <c r="Z24" s="2"/>
      <c r="AA24" s="2"/>
    </row>
    <row r="25" s="1" customFormat="1" spans="2:29">
      <c r="B25" s="6"/>
      <c r="C25" s="6"/>
      <c r="D25" s="6"/>
      <c r="E25" s="6"/>
      <c r="F25" s="6"/>
      <c r="G25" s="6"/>
      <c r="H25" s="6"/>
      <c r="I25" s="6"/>
      <c r="J25" s="6"/>
      <c r="K25" s="6"/>
      <c r="L25" s="6"/>
      <c r="Q25" s="2"/>
      <c r="R25" s="2"/>
      <c r="S25" s="2"/>
      <c r="T25" s="2"/>
      <c r="U25" s="3"/>
      <c r="V25" s="3"/>
      <c r="W25" s="3"/>
      <c r="X25" s="3"/>
      <c r="Y25" s="2"/>
      <c r="Z25" s="2"/>
      <c r="AA25" s="2"/>
    </row>
    <row r="26" s="1" customFormat="1" spans="2:29">
      <c r="B26" s="6"/>
      <c r="C26" s="6"/>
      <c r="D26" s="6"/>
      <c r="E26" s="6"/>
      <c r="F26" s="6"/>
      <c r="G26" s="6"/>
      <c r="H26" s="6"/>
      <c r="I26" s="6"/>
      <c r="J26" s="6"/>
      <c r="K26" s="6"/>
      <c r="L26" s="6"/>
      <c r="Q26" s="2"/>
      <c r="R26" s="2"/>
      <c r="S26" s="2"/>
      <c r="T26" s="2"/>
      <c r="U26" s="3"/>
      <c r="V26" s="3"/>
      <c r="W26" s="3"/>
      <c r="X26" s="3"/>
      <c r="Y26" s="2"/>
      <c r="Z26" s="2"/>
      <c r="AA26" s="2"/>
    </row>
    <row r="27" s="1" customFormat="1" spans="2:29">
      <c r="B27" s="6"/>
      <c r="C27" s="6"/>
      <c r="D27" s="6"/>
      <c r="E27" s="6"/>
      <c r="F27" s="6"/>
      <c r="G27" s="6"/>
      <c r="H27" s="6"/>
      <c r="I27" s="6"/>
      <c r="J27" s="6"/>
      <c r="K27" s="6"/>
      <c r="L27" s="6"/>
      <c r="Q27" s="2"/>
      <c r="R27" s="2"/>
      <c r="S27" s="2"/>
      <c r="T27" s="2"/>
      <c r="U27" s="3"/>
      <c r="V27" s="3"/>
      <c r="W27" s="3"/>
      <c r="X27" s="3"/>
      <c r="Y27" s="2"/>
      <c r="Z27" s="2"/>
      <c r="AA27" s="2"/>
    </row>
    <row r="28" s="1" customFormat="1" ht="20.1" customHeight="1" spans="2:29">
      <c r="B28" s="7" t="s">
        <v>285</v>
      </c>
      <c r="C28" s="7"/>
      <c r="D28" s="7"/>
      <c r="E28" s="7"/>
      <c r="F28" s="7"/>
      <c r="G28" s="7"/>
      <c r="Q28" s="2"/>
      <c r="R28" s="2"/>
      <c r="S28" s="2"/>
      <c r="T28" s="2"/>
      <c r="U28" s="3"/>
      <c r="V28" s="3"/>
      <c r="W28" s="3"/>
      <c r="X28" s="3"/>
      <c r="Y28" s="2"/>
      <c r="Z28" s="2"/>
      <c r="AA28" s="2"/>
    </row>
    <row r="29" s="1" customFormat="1" spans="2:29">
      <c r="B29" s="7"/>
      <c r="C29" s="7"/>
      <c r="D29" s="7"/>
      <c r="E29" s="7"/>
      <c r="F29" s="7"/>
      <c r="G29" s="7"/>
      <c r="Q29" s="2"/>
      <c r="R29" s="2"/>
      <c r="S29" s="2"/>
      <c r="T29" s="8" t="s">
        <v>286</v>
      </c>
      <c r="U29" s="9"/>
      <c r="V29" s="9"/>
      <c r="W29" s="9"/>
      <c r="X29" s="9"/>
      <c r="Y29" s="9"/>
      <c r="Z29" s="9"/>
      <c r="AA29" s="9"/>
      <c r="AB29" s="9"/>
      <c r="AC29" s="9"/>
    </row>
    <row r="30" s="1" customFormat="1" spans="2:29">
      <c r="B30" s="7"/>
      <c r="C30" s="7"/>
      <c r="D30" s="7"/>
      <c r="E30" s="7"/>
      <c r="F30" s="7"/>
      <c r="G30" s="7"/>
      <c r="S30" s="2"/>
      <c r="T30" s="9"/>
      <c r="U30" s="9"/>
      <c r="V30" s="9"/>
      <c r="W30" s="9"/>
      <c r="X30" s="9"/>
      <c r="Y30" s="9"/>
      <c r="Z30" s="9"/>
      <c r="AA30" s="9"/>
      <c r="AB30" s="9"/>
      <c r="AC30" s="9"/>
    </row>
    <row r="31" s="1" customFormat="1" spans="2:29">
      <c r="B31" s="7"/>
      <c r="C31" s="7"/>
      <c r="D31" s="7"/>
      <c r="E31" s="7"/>
      <c r="F31" s="7"/>
      <c r="G31" s="7"/>
      <c r="S31" s="2"/>
      <c r="T31" s="9"/>
      <c r="U31" s="9"/>
      <c r="V31" s="9"/>
      <c r="W31" s="9"/>
      <c r="X31" s="9"/>
      <c r="Y31" s="9"/>
      <c r="Z31" s="9"/>
      <c r="AA31" s="9"/>
      <c r="AB31" s="9"/>
      <c r="AC31" s="9"/>
    </row>
    <row r="32" s="1" customFormat="1" spans="2:29">
      <c r="B32" s="7"/>
      <c r="C32" s="7"/>
      <c r="D32" s="7"/>
      <c r="E32" s="7"/>
      <c r="F32" s="7"/>
      <c r="G32" s="7"/>
      <c r="S32" s="2"/>
      <c r="T32" s="9"/>
      <c r="U32" s="9"/>
      <c r="V32" s="9"/>
      <c r="W32" s="9"/>
      <c r="X32" s="9"/>
      <c r="Y32" s="9"/>
      <c r="Z32" s="9"/>
      <c r="AA32" s="9"/>
      <c r="AB32" s="9"/>
      <c r="AC32" s="9"/>
    </row>
    <row r="33" s="1" customFormat="1" spans="2:29">
      <c r="B33" s="7"/>
      <c r="C33" s="7"/>
      <c r="D33" s="7"/>
      <c r="E33" s="7"/>
      <c r="F33" s="7"/>
      <c r="G33" s="7"/>
      <c r="S33" s="2"/>
      <c r="T33" s="9"/>
      <c r="U33" s="9"/>
      <c r="V33" s="9"/>
      <c r="W33" s="9"/>
      <c r="X33" s="9"/>
      <c r="Y33" s="9"/>
      <c r="Z33" s="9"/>
      <c r="AA33" s="9"/>
      <c r="AB33" s="9"/>
      <c r="AC33" s="9"/>
    </row>
    <row r="34" s="1" customFormat="1" spans="2:29">
      <c r="B34" s="7"/>
      <c r="C34" s="7"/>
      <c r="D34" s="7"/>
      <c r="E34" s="7"/>
      <c r="F34" s="7"/>
      <c r="G34" s="7"/>
      <c r="S34" s="2"/>
      <c r="T34" s="9"/>
      <c r="U34" s="9"/>
      <c r="V34" s="9"/>
      <c r="W34" s="9"/>
      <c r="X34" s="9"/>
      <c r="Y34" s="9"/>
      <c r="Z34" s="9"/>
      <c r="AA34" s="9"/>
      <c r="AB34" s="9"/>
      <c r="AC34" s="9"/>
    </row>
    <row r="35" s="1" customFormat="1" spans="2:29">
      <c r="B35" s="7"/>
      <c r="C35" s="7"/>
      <c r="D35" s="7"/>
      <c r="E35" s="7"/>
      <c r="F35" s="7"/>
      <c r="G35" s="7"/>
      <c r="S35" s="2"/>
      <c r="T35" s="9"/>
      <c r="U35" s="9"/>
      <c r="V35" s="9"/>
      <c r="W35" s="9"/>
      <c r="X35" s="9"/>
      <c r="Y35" s="9"/>
      <c r="Z35" s="9"/>
      <c r="AA35" s="9"/>
      <c r="AB35" s="9"/>
      <c r="AC35" s="9"/>
    </row>
    <row r="36" s="1" customFormat="1" spans="2:29">
      <c r="B36" s="7"/>
      <c r="C36" s="7"/>
      <c r="D36" s="7"/>
      <c r="E36" s="7"/>
      <c r="F36" s="7"/>
      <c r="G36" s="7"/>
      <c r="S36" s="2"/>
      <c r="T36" s="9"/>
      <c r="U36" s="9"/>
      <c r="V36" s="9"/>
      <c r="W36" s="9"/>
      <c r="X36" s="9"/>
      <c r="Y36" s="9"/>
      <c r="Z36" s="9"/>
      <c r="AA36" s="9"/>
      <c r="AB36" s="9"/>
      <c r="AC36" s="9"/>
    </row>
    <row r="37" s="1" customFormat="1" spans="2:29">
      <c r="B37" s="7"/>
      <c r="C37" s="7"/>
      <c r="D37" s="7"/>
      <c r="E37" s="7"/>
      <c r="F37" s="7"/>
      <c r="G37" s="7"/>
      <c r="S37" s="2"/>
      <c r="T37" s="9"/>
      <c r="U37" s="9"/>
      <c r="V37" s="9"/>
      <c r="W37" s="9"/>
      <c r="X37" s="9"/>
      <c r="Y37" s="9"/>
      <c r="Z37" s="9"/>
      <c r="AA37" s="9"/>
      <c r="AB37" s="9"/>
      <c r="AC37" s="9"/>
    </row>
    <row r="38" s="1" customFormat="1" spans="2:29">
      <c r="B38" s="7"/>
      <c r="C38" s="7"/>
      <c r="D38" s="7"/>
      <c r="E38" s="7"/>
      <c r="F38" s="7"/>
      <c r="G38" s="7"/>
      <c r="S38" s="2"/>
      <c r="T38" s="9"/>
      <c r="U38" s="9"/>
      <c r="V38" s="9"/>
      <c r="W38" s="9"/>
      <c r="X38" s="9"/>
      <c r="Y38" s="9"/>
      <c r="Z38" s="9"/>
      <c r="AA38" s="9"/>
      <c r="AB38" s="9"/>
      <c r="AC38" s="9"/>
    </row>
    <row r="39" s="1" customFormat="1" spans="2:29">
      <c r="B39" s="7"/>
      <c r="C39" s="7"/>
      <c r="D39" s="7"/>
      <c r="E39" s="7"/>
      <c r="F39" s="7"/>
      <c r="G39" s="7"/>
      <c r="S39" s="2"/>
      <c r="T39" s="9"/>
      <c r="U39" s="9"/>
      <c r="V39" s="9"/>
      <c r="W39" s="9"/>
      <c r="X39" s="9"/>
      <c r="Y39" s="9"/>
      <c r="Z39" s="9"/>
      <c r="AA39" s="9"/>
      <c r="AB39" s="9"/>
      <c r="AC39" s="9"/>
    </row>
    <row r="40" s="1" customFormat="1" spans="2:29">
      <c r="S40" s="2"/>
      <c r="T40" s="9"/>
      <c r="U40" s="9"/>
      <c r="V40" s="9"/>
      <c r="W40" s="9"/>
      <c r="X40" s="9"/>
      <c r="Y40" s="9"/>
      <c r="Z40" s="9"/>
      <c r="AA40" s="9"/>
      <c r="AB40" s="9"/>
      <c r="AC40" s="9"/>
    </row>
    <row r="41" s="1" customFormat="1" spans="2:29">
      <c r="B41" s="7" t="s">
        <v>287</v>
      </c>
      <c r="C41" s="7"/>
      <c r="D41" s="7"/>
      <c r="E41" s="7"/>
      <c r="F41" s="7"/>
      <c r="G41" s="7"/>
      <c r="S41" s="2"/>
      <c r="T41" s="9"/>
      <c r="U41" s="9"/>
      <c r="V41" s="9"/>
      <c r="W41" s="9"/>
      <c r="X41" s="9"/>
      <c r="Y41" s="9"/>
      <c r="Z41" s="9"/>
      <c r="AA41" s="9"/>
      <c r="AB41" s="9"/>
      <c r="AC41" s="9"/>
    </row>
    <row r="42" s="1" customFormat="1" spans="2:29">
      <c r="B42" s="7"/>
      <c r="C42" s="7"/>
      <c r="D42" s="7"/>
      <c r="E42" s="7"/>
      <c r="F42" s="7"/>
      <c r="G42" s="7"/>
      <c r="S42" s="2"/>
      <c r="T42" s="9"/>
      <c r="U42" s="9"/>
      <c r="V42" s="9"/>
      <c r="W42" s="9"/>
      <c r="X42" s="9"/>
      <c r="Y42" s="9"/>
      <c r="Z42" s="9"/>
      <c r="AA42" s="9"/>
      <c r="AB42" s="9"/>
      <c r="AC42" s="9"/>
    </row>
    <row r="43" s="1" customFormat="1" spans="2:29">
      <c r="B43" s="7"/>
      <c r="C43" s="7"/>
      <c r="D43" s="7"/>
      <c r="E43" s="7"/>
      <c r="F43" s="7"/>
      <c r="G43" s="7"/>
      <c r="S43" s="2"/>
      <c r="T43" s="9"/>
      <c r="U43" s="9"/>
      <c r="V43" s="9"/>
      <c r="W43" s="9"/>
      <c r="X43" s="9"/>
      <c r="Y43" s="9"/>
      <c r="Z43" s="9"/>
      <c r="AA43" s="9"/>
      <c r="AB43" s="9"/>
      <c r="AC43" s="9"/>
    </row>
    <row r="44" s="1" customFormat="1" spans="2:29">
      <c r="B44" s="7"/>
      <c r="C44" s="7"/>
      <c r="D44" s="7"/>
      <c r="E44" s="7"/>
      <c r="F44" s="7"/>
      <c r="G44" s="7"/>
      <c r="S44" s="2"/>
      <c r="T44" s="9"/>
      <c r="U44" s="9"/>
      <c r="V44" s="9"/>
      <c r="W44" s="9"/>
      <c r="X44" s="9"/>
      <c r="Y44" s="9"/>
      <c r="Z44" s="9"/>
      <c r="AA44" s="9"/>
      <c r="AB44" s="9"/>
      <c r="AC44" s="9"/>
    </row>
    <row r="45" s="1" customFormat="1" spans="2:29">
      <c r="B45" s="7"/>
      <c r="C45" s="7"/>
      <c r="D45" s="7"/>
      <c r="E45" s="7"/>
      <c r="F45" s="7"/>
      <c r="G45" s="7"/>
      <c r="S45" s="2"/>
      <c r="T45" s="2"/>
      <c r="U45" s="3"/>
      <c r="V45" s="3"/>
      <c r="W45" s="3"/>
      <c r="X45" s="3"/>
      <c r="Y45" s="2"/>
      <c r="Z45" s="2"/>
      <c r="AA45" s="2"/>
    </row>
    <row r="46" s="1" customFormat="1" spans="2:29">
      <c r="B46" s="7"/>
      <c r="C46" s="7"/>
      <c r="D46" s="7"/>
      <c r="E46" s="7"/>
      <c r="F46" s="7"/>
      <c r="G46" s="7"/>
      <c r="S46" s="2"/>
      <c r="T46" s="9" t="s">
        <v>288</v>
      </c>
      <c r="U46" s="10"/>
      <c r="V46" s="10"/>
      <c r="W46" s="10"/>
      <c r="X46" s="10"/>
      <c r="Y46" s="10"/>
      <c r="Z46" s="10"/>
      <c r="AA46" s="10"/>
      <c r="AB46" s="10"/>
      <c r="AC46" s="10"/>
    </row>
    <row r="47" s="1" customFormat="1" spans="2:29">
      <c r="B47" s="7"/>
      <c r="C47" s="7"/>
      <c r="D47" s="7"/>
      <c r="E47" s="7"/>
      <c r="F47" s="7"/>
      <c r="G47" s="7"/>
      <c r="S47" s="2"/>
      <c r="T47" s="10"/>
      <c r="U47" s="10"/>
      <c r="V47" s="10"/>
      <c r="W47" s="10"/>
      <c r="X47" s="10"/>
      <c r="Y47" s="10"/>
      <c r="Z47" s="10"/>
      <c r="AA47" s="10"/>
      <c r="AB47" s="10"/>
      <c r="AC47" s="10"/>
    </row>
    <row r="48" s="1" customFormat="1" spans="2:29">
      <c r="B48" s="7"/>
      <c r="C48" s="7"/>
      <c r="D48" s="7"/>
      <c r="E48" s="7"/>
      <c r="F48" s="7"/>
      <c r="G48" s="7"/>
      <c r="M48" s="2"/>
      <c r="N48" s="3"/>
      <c r="O48" s="2"/>
      <c r="P48" s="2"/>
      <c r="Q48" s="2"/>
      <c r="R48" s="2"/>
      <c r="S48" s="2"/>
      <c r="T48" s="10"/>
      <c r="U48" s="10"/>
      <c r="V48" s="10"/>
      <c r="W48" s="10"/>
      <c r="X48" s="10"/>
      <c r="Y48" s="10"/>
      <c r="Z48" s="10"/>
      <c r="AA48" s="10"/>
      <c r="AB48" s="10"/>
      <c r="AC48" s="10"/>
    </row>
    <row r="49" s="1" customFormat="1" spans="2:29">
      <c r="B49" s="7"/>
      <c r="C49" s="7"/>
      <c r="D49" s="7"/>
      <c r="E49" s="7"/>
      <c r="F49" s="7"/>
      <c r="G49" s="7"/>
      <c r="S49" s="2"/>
      <c r="T49" s="10"/>
      <c r="U49" s="10"/>
      <c r="V49" s="10"/>
      <c r="W49" s="10"/>
      <c r="X49" s="10"/>
      <c r="Y49" s="10"/>
      <c r="Z49" s="10"/>
      <c r="AA49" s="10"/>
      <c r="AB49" s="10"/>
      <c r="AC49" s="10"/>
    </row>
    <row r="50" s="1" customFormat="1" spans="2:29">
      <c r="B50" s="7"/>
      <c r="C50" s="7"/>
      <c r="D50" s="7"/>
      <c r="E50" s="7"/>
      <c r="F50" s="7"/>
      <c r="G50" s="7"/>
      <c r="S50" s="2"/>
      <c r="T50" s="10"/>
      <c r="U50" s="10"/>
      <c r="V50" s="10"/>
      <c r="W50" s="10"/>
      <c r="X50" s="10"/>
      <c r="Y50" s="10"/>
      <c r="Z50" s="10"/>
      <c r="AA50" s="10"/>
      <c r="AB50" s="10"/>
      <c r="AC50" s="10"/>
    </row>
    <row r="51" s="1" customFormat="1" spans="2:29">
      <c r="B51" s="7"/>
      <c r="C51" s="7"/>
      <c r="D51" s="7"/>
      <c r="E51" s="7"/>
      <c r="F51" s="7"/>
      <c r="G51" s="7"/>
      <c r="S51" s="2"/>
      <c r="T51" s="10"/>
      <c r="U51" s="10"/>
      <c r="V51" s="10"/>
      <c r="W51" s="10"/>
      <c r="X51" s="10"/>
      <c r="Y51" s="10"/>
      <c r="Z51" s="10"/>
      <c r="AA51" s="10"/>
      <c r="AB51" s="10"/>
      <c r="AC51" s="10"/>
    </row>
    <row r="52" s="1" customFormat="1" spans="2:29">
      <c r="B52" s="7"/>
      <c r="C52" s="7"/>
      <c r="D52" s="7"/>
      <c r="E52" s="7"/>
      <c r="F52" s="7"/>
      <c r="G52" s="7"/>
      <c r="S52" s="2"/>
      <c r="T52" s="10"/>
      <c r="U52" s="10"/>
      <c r="V52" s="10"/>
      <c r="W52" s="10"/>
      <c r="X52" s="10"/>
      <c r="Y52" s="10"/>
      <c r="Z52" s="10"/>
      <c r="AA52" s="10"/>
      <c r="AB52" s="10"/>
      <c r="AC52" s="10"/>
    </row>
    <row r="53" s="1" customFormat="1" spans="2:29">
      <c r="B53" s="7"/>
      <c r="C53" s="7"/>
      <c r="D53" s="7"/>
      <c r="E53" s="7"/>
      <c r="F53" s="7"/>
      <c r="G53" s="7"/>
      <c r="S53" s="2"/>
      <c r="T53" s="10"/>
      <c r="U53" s="10"/>
      <c r="V53" s="10"/>
      <c r="W53" s="10"/>
      <c r="X53" s="10"/>
      <c r="Y53" s="10"/>
      <c r="Z53" s="10"/>
      <c r="AA53" s="10"/>
      <c r="AB53" s="10"/>
      <c r="AC53" s="10"/>
    </row>
    <row r="54" s="1" customFormat="1" spans="2:29">
      <c r="B54" s="7"/>
      <c r="C54" s="7"/>
      <c r="D54" s="7"/>
      <c r="E54" s="7"/>
      <c r="F54" s="7"/>
      <c r="G54" s="7"/>
      <c r="S54" s="2"/>
      <c r="T54" s="10"/>
      <c r="U54" s="10"/>
      <c r="V54" s="10"/>
      <c r="W54" s="10"/>
      <c r="X54" s="10"/>
      <c r="Y54" s="10"/>
      <c r="Z54" s="10"/>
      <c r="AA54" s="10"/>
      <c r="AB54" s="10"/>
      <c r="AC54" s="10"/>
    </row>
    <row r="55" s="1" customFormat="1" spans="2:29">
      <c r="B55" s="7"/>
      <c r="C55" s="7"/>
      <c r="D55" s="7"/>
      <c r="E55" s="7"/>
      <c r="F55" s="7"/>
      <c r="G55" s="7"/>
      <c r="S55" s="2"/>
      <c r="T55" s="2"/>
      <c r="U55" s="3"/>
      <c r="V55" s="3"/>
      <c r="W55" s="3"/>
      <c r="X55" s="3"/>
      <c r="Y55" s="2"/>
      <c r="Z55" s="2"/>
      <c r="AA55" s="2"/>
    </row>
    <row r="56" s="1" customFormat="1" spans="2:29">
      <c r="B56" s="7"/>
      <c r="C56" s="7"/>
      <c r="D56" s="7"/>
      <c r="E56" s="7"/>
      <c r="F56" s="7"/>
      <c r="G56" s="7"/>
      <c r="S56" s="2"/>
      <c r="T56" s="2"/>
      <c r="U56" s="3"/>
      <c r="V56" s="3"/>
      <c r="W56" s="3"/>
      <c r="X56" s="3"/>
      <c r="Y56" s="2"/>
      <c r="Z56" s="2"/>
      <c r="AA56" s="2"/>
    </row>
    <row r="57" s="1" customFormat="1" spans="2:29">
      <c r="B57" s="7"/>
      <c r="C57" s="7"/>
      <c r="D57" s="7"/>
      <c r="E57" s="7"/>
      <c r="F57" s="7"/>
      <c r="G57" s="7"/>
      <c r="S57" s="2"/>
      <c r="T57" s="2"/>
      <c r="U57" s="3"/>
      <c r="V57" s="3"/>
      <c r="W57" s="3"/>
      <c r="X57" s="3"/>
      <c r="Y57" s="2"/>
      <c r="Z57" s="2"/>
      <c r="AA57" s="2"/>
    </row>
    <row r="58" s="1" customFormat="1" spans="2:29">
      <c r="B58" s="7"/>
      <c r="C58" s="7"/>
      <c r="D58" s="7"/>
      <c r="E58" s="7"/>
      <c r="F58" s="7"/>
      <c r="G58" s="7"/>
      <c r="M58" s="2"/>
      <c r="N58" s="3"/>
      <c r="O58" s="2"/>
      <c r="P58" s="2"/>
      <c r="Q58" s="2"/>
      <c r="R58" s="2"/>
      <c r="S58" s="2"/>
      <c r="T58" s="2"/>
      <c r="U58" s="3"/>
      <c r="V58" s="3"/>
      <c r="W58" s="3"/>
      <c r="X58" s="3"/>
      <c r="Y58" s="2"/>
      <c r="Z58" s="2"/>
      <c r="AA58" s="2"/>
    </row>
    <row r="59" s="1" customFormat="1" customHeight="1" spans="2:29">
      <c r="B59" s="7" t="s">
        <v>289</v>
      </c>
      <c r="C59" s="7"/>
      <c r="D59" s="7"/>
      <c r="E59" s="7"/>
      <c r="F59" s="7"/>
      <c r="G59" s="7"/>
      <c r="M59" s="2"/>
      <c r="N59" s="3"/>
      <c r="O59" s="2"/>
      <c r="P59" s="2"/>
      <c r="Q59" s="2"/>
      <c r="R59" s="2"/>
      <c r="S59" s="2"/>
      <c r="T59" s="2"/>
      <c r="U59" s="3"/>
      <c r="V59" s="3"/>
      <c r="W59" s="3"/>
      <c r="X59" s="3"/>
      <c r="Y59" s="2"/>
      <c r="Z59" s="2"/>
      <c r="AA59" s="2"/>
    </row>
    <row r="60" s="1" customFormat="1" spans="2:29">
      <c r="B60" s="7"/>
      <c r="C60" s="7"/>
      <c r="D60" s="7"/>
      <c r="E60" s="7"/>
      <c r="F60" s="7"/>
      <c r="G60" s="7"/>
      <c r="M60" s="2"/>
      <c r="N60" s="3"/>
      <c r="O60" s="2"/>
      <c r="P60" s="2"/>
      <c r="Q60" s="2"/>
      <c r="R60" s="2"/>
      <c r="S60" s="2"/>
      <c r="T60" s="2"/>
      <c r="U60" s="3"/>
      <c r="V60" s="3"/>
      <c r="W60" s="3"/>
      <c r="X60" s="3"/>
      <c r="Y60" s="2"/>
      <c r="Z60" s="2"/>
      <c r="AA60" s="2"/>
    </row>
    <row r="61" s="1" customFormat="1" spans="2:29">
      <c r="B61" s="7"/>
      <c r="C61" s="7"/>
      <c r="D61" s="7"/>
      <c r="E61" s="7"/>
      <c r="F61" s="7"/>
      <c r="G61" s="7"/>
      <c r="M61" s="2"/>
      <c r="N61" s="3"/>
      <c r="O61" s="2"/>
      <c r="P61" s="2"/>
      <c r="Q61" s="2"/>
      <c r="R61" s="2"/>
      <c r="S61" s="2"/>
      <c r="T61" s="2"/>
      <c r="U61" s="3"/>
      <c r="V61" s="3"/>
      <c r="W61" s="3"/>
      <c r="X61" s="3"/>
      <c r="Y61" s="2"/>
      <c r="Z61" s="2"/>
      <c r="AA61" s="2"/>
    </row>
    <row r="62" s="1" customFormat="1" spans="2:29">
      <c r="B62" s="7"/>
      <c r="C62" s="7"/>
      <c r="D62" s="7"/>
      <c r="E62" s="7"/>
      <c r="F62" s="7"/>
      <c r="G62" s="7"/>
      <c r="M62" s="2"/>
      <c r="N62" s="3"/>
      <c r="O62" s="2"/>
      <c r="P62" s="2"/>
      <c r="Q62" s="2"/>
      <c r="R62" s="2"/>
      <c r="S62" s="2"/>
      <c r="T62" s="2"/>
      <c r="U62" s="3"/>
      <c r="V62" s="3"/>
      <c r="W62" s="3"/>
      <c r="X62" s="3"/>
      <c r="Y62" s="2"/>
      <c r="Z62" s="2"/>
      <c r="AA62" s="2"/>
    </row>
    <row r="63" s="1" customFormat="1" spans="2:29">
      <c r="B63" s="7"/>
      <c r="C63" s="7"/>
      <c r="D63" s="7"/>
      <c r="E63" s="7"/>
      <c r="F63" s="7"/>
      <c r="G63" s="7"/>
      <c r="M63" s="2"/>
      <c r="N63" s="3"/>
      <c r="O63" s="2"/>
      <c r="P63" s="2"/>
      <c r="Q63" s="2"/>
      <c r="R63" s="2"/>
      <c r="S63" s="2"/>
      <c r="T63" s="2"/>
      <c r="U63" s="3"/>
      <c r="V63" s="3"/>
      <c r="W63" s="3"/>
      <c r="X63" s="3"/>
      <c r="Y63" s="2"/>
      <c r="Z63" s="2"/>
      <c r="AA63" s="2"/>
    </row>
    <row r="64" s="1" customFormat="1" spans="2:29">
      <c r="B64" s="7"/>
      <c r="C64" s="7"/>
      <c r="D64" s="7"/>
      <c r="E64" s="7"/>
      <c r="F64" s="7"/>
      <c r="G64" s="7"/>
      <c r="M64" s="2"/>
      <c r="N64" s="3"/>
      <c r="O64" s="2"/>
      <c r="P64" s="2"/>
      <c r="Q64" s="2"/>
      <c r="R64" s="2"/>
      <c r="S64" s="2"/>
      <c r="T64" s="2"/>
      <c r="U64" s="3"/>
      <c r="V64" s="3"/>
      <c r="W64" s="3"/>
      <c r="X64" s="3"/>
      <c r="Y64" s="2"/>
      <c r="Z64" s="2"/>
      <c r="AA64" s="2"/>
    </row>
    <row r="65" s="1" customFormat="1" spans="2:27">
      <c r="B65" s="7"/>
      <c r="C65" s="7"/>
      <c r="D65" s="7"/>
      <c r="E65" s="7"/>
      <c r="F65" s="7"/>
      <c r="G65" s="7"/>
      <c r="M65" s="2"/>
      <c r="N65" s="3"/>
      <c r="O65" s="2"/>
      <c r="P65" s="2"/>
      <c r="Q65" s="2"/>
      <c r="R65" s="2"/>
      <c r="S65" s="2"/>
      <c r="T65" s="2"/>
      <c r="U65" s="3"/>
      <c r="V65" s="3"/>
      <c r="W65" s="3"/>
      <c r="X65" s="3"/>
      <c r="Y65" s="2"/>
      <c r="Z65" s="2"/>
      <c r="AA65" s="2"/>
    </row>
    <row r="66" s="1" customFormat="1" spans="2:27">
      <c r="B66" s="7"/>
      <c r="C66" s="7"/>
      <c r="D66" s="7"/>
      <c r="E66" s="7"/>
      <c r="F66" s="7"/>
      <c r="G66" s="7"/>
      <c r="M66" s="2"/>
      <c r="N66" s="3"/>
      <c r="O66" s="2"/>
      <c r="P66" s="2"/>
      <c r="Q66" s="2"/>
      <c r="R66" s="2"/>
      <c r="S66" s="2"/>
      <c r="T66" s="2"/>
      <c r="U66" s="3"/>
      <c r="V66" s="3"/>
      <c r="W66" s="3"/>
      <c r="X66" s="3"/>
      <c r="Y66" s="2"/>
      <c r="Z66" s="2"/>
      <c r="AA66" s="2"/>
    </row>
    <row r="67" s="1" customFormat="1" spans="2:27">
      <c r="B67" s="7"/>
      <c r="C67" s="7"/>
      <c r="D67" s="7"/>
      <c r="E67" s="7"/>
      <c r="F67" s="7"/>
      <c r="G67" s="7"/>
      <c r="M67" s="2"/>
      <c r="N67" s="3"/>
      <c r="O67" s="2"/>
      <c r="P67" s="2"/>
      <c r="Q67" s="2"/>
      <c r="R67" s="2"/>
      <c r="S67" s="2"/>
      <c r="T67" s="2"/>
      <c r="U67" s="3"/>
      <c r="V67" s="3"/>
      <c r="W67" s="3"/>
      <c r="X67" s="3"/>
      <c r="Y67" s="2"/>
      <c r="Z67" s="2"/>
      <c r="AA67" s="2"/>
    </row>
    <row r="68" s="1" customFormat="1" spans="2:27">
      <c r="B68" s="7"/>
      <c r="C68" s="7"/>
      <c r="D68" s="7"/>
      <c r="E68" s="7"/>
      <c r="F68" s="7"/>
      <c r="G68" s="7"/>
      <c r="M68" s="2"/>
      <c r="N68" s="3"/>
      <c r="O68" s="2"/>
      <c r="P68" s="2"/>
      <c r="Q68" s="2"/>
      <c r="R68" s="2"/>
      <c r="S68" s="2"/>
      <c r="T68" s="2"/>
      <c r="U68" s="3"/>
      <c r="V68" s="3"/>
      <c r="W68" s="3"/>
      <c r="X68" s="3"/>
      <c r="Y68" s="2"/>
      <c r="Z68" s="2"/>
      <c r="AA68" s="2"/>
    </row>
    <row r="69" s="1" customFormat="1" spans="2:27">
      <c r="B69" s="7"/>
      <c r="C69" s="7"/>
      <c r="D69" s="7"/>
      <c r="E69" s="7"/>
      <c r="F69" s="7"/>
      <c r="G69" s="7"/>
      <c r="M69" s="2"/>
      <c r="N69" s="3"/>
      <c r="O69" s="2"/>
      <c r="P69" s="2"/>
      <c r="Q69" s="2"/>
      <c r="R69" s="2"/>
      <c r="S69" s="2"/>
      <c r="T69" s="2"/>
      <c r="U69" s="3"/>
      <c r="V69" s="3"/>
      <c r="W69" s="3"/>
      <c r="X69" s="3"/>
      <c r="Y69" s="2"/>
      <c r="Z69" s="2"/>
      <c r="AA69" s="2"/>
    </row>
    <row r="70" s="1" customFormat="1" spans="2:27">
      <c r="B70" s="7"/>
      <c r="C70" s="7"/>
      <c r="D70" s="7"/>
      <c r="E70" s="7"/>
      <c r="F70" s="7"/>
      <c r="G70" s="7"/>
      <c r="M70" s="2"/>
      <c r="N70" s="3"/>
      <c r="O70" s="2"/>
      <c r="P70" s="2"/>
      <c r="Q70" s="2"/>
      <c r="R70" s="2"/>
      <c r="S70" s="2"/>
      <c r="T70" s="2"/>
      <c r="U70" s="3"/>
      <c r="V70" s="3"/>
      <c r="W70" s="3"/>
      <c r="X70" s="3"/>
      <c r="Y70" s="2"/>
      <c r="Z70" s="2"/>
      <c r="AA70" s="2"/>
    </row>
    <row r="71" s="1" customFormat="1" spans="2:27">
      <c r="B71" s="7"/>
      <c r="C71" s="7"/>
      <c r="D71" s="7"/>
      <c r="E71" s="7"/>
      <c r="F71" s="7"/>
      <c r="G71" s="7"/>
      <c r="M71" s="2"/>
      <c r="N71" s="3"/>
      <c r="O71" s="2"/>
      <c r="P71" s="2"/>
      <c r="Q71" s="2"/>
      <c r="R71" s="2"/>
      <c r="S71" s="2"/>
      <c r="T71" s="2"/>
      <c r="U71" s="3"/>
      <c r="V71" s="3"/>
      <c r="W71" s="3"/>
      <c r="X71" s="3"/>
      <c r="Y71" s="2"/>
      <c r="Z71" s="2"/>
      <c r="AA71" s="2"/>
    </row>
    <row r="72" s="1" customFormat="1" spans="2:27">
      <c r="B72" s="7"/>
      <c r="C72" s="7"/>
      <c r="D72" s="7"/>
      <c r="E72" s="7"/>
      <c r="F72" s="7"/>
      <c r="G72" s="7"/>
      <c r="M72" s="2"/>
      <c r="N72" s="3"/>
      <c r="O72" s="2"/>
      <c r="P72" s="2"/>
      <c r="Q72" s="2"/>
      <c r="R72" s="2"/>
      <c r="S72" s="2"/>
      <c r="T72" s="2"/>
      <c r="U72" s="3"/>
      <c r="V72" s="3"/>
      <c r="W72" s="3"/>
      <c r="X72" s="3"/>
      <c r="Y72" s="2"/>
      <c r="Z72" s="2"/>
      <c r="AA72" s="2"/>
    </row>
    <row r="73" s="1" customFormat="1" spans="2:27">
      <c r="B73" s="7"/>
      <c r="C73" s="7"/>
      <c r="D73" s="7"/>
      <c r="E73" s="7"/>
      <c r="F73" s="7"/>
      <c r="G73" s="7"/>
      <c r="M73" s="2"/>
      <c r="N73" s="3"/>
      <c r="O73" s="2"/>
      <c r="P73" s="2"/>
      <c r="Q73" s="2"/>
      <c r="R73" s="2"/>
      <c r="S73" s="2"/>
      <c r="T73" s="2"/>
      <c r="U73" s="3"/>
      <c r="V73" s="3"/>
      <c r="W73" s="3"/>
      <c r="X73" s="3"/>
      <c r="Y73" s="2"/>
      <c r="Z73" s="2"/>
      <c r="AA73" s="2"/>
    </row>
    <row r="74" s="1" customFormat="1" spans="2:27">
      <c r="B74" s="7"/>
      <c r="C74" s="7"/>
      <c r="D74" s="7"/>
      <c r="E74" s="7"/>
      <c r="F74" s="7"/>
      <c r="G74" s="7"/>
      <c r="M74" s="2"/>
      <c r="N74" s="3"/>
      <c r="O74" s="2"/>
      <c r="P74" s="2"/>
      <c r="Q74" s="2"/>
      <c r="R74" s="2"/>
      <c r="S74" s="2"/>
      <c r="T74" s="2"/>
      <c r="U74" s="3"/>
      <c r="V74" s="3"/>
      <c r="W74" s="3"/>
      <c r="X74" s="3"/>
      <c r="Y74" s="2"/>
      <c r="Z74" s="2"/>
      <c r="AA74" s="2"/>
    </row>
    <row r="75" s="1" customFormat="1" spans="2:27">
      <c r="B75" s="7"/>
      <c r="C75" s="7"/>
      <c r="D75" s="7"/>
      <c r="E75" s="7"/>
      <c r="F75" s="7"/>
      <c r="G75" s="7"/>
      <c r="M75" s="2"/>
      <c r="N75" s="3"/>
      <c r="O75" s="2"/>
      <c r="P75" s="2"/>
      <c r="Q75" s="2"/>
      <c r="R75" s="2"/>
      <c r="S75" s="2"/>
      <c r="T75" s="2"/>
      <c r="U75" s="3"/>
      <c r="V75" s="3"/>
      <c r="W75" s="3"/>
      <c r="X75" s="3"/>
      <c r="Y75" s="2"/>
      <c r="Z75" s="2"/>
      <c r="AA75" s="2"/>
    </row>
    <row r="76" s="1" customFormat="1" spans="2:27">
      <c r="B76" s="7"/>
      <c r="C76" s="7"/>
      <c r="D76" s="7"/>
      <c r="E76" s="7"/>
      <c r="F76" s="7"/>
      <c r="G76" s="7"/>
      <c r="M76" s="2"/>
      <c r="N76" s="3"/>
      <c r="O76" s="2"/>
      <c r="P76" s="2"/>
      <c r="Q76" s="2"/>
      <c r="R76" s="2"/>
      <c r="S76" s="2"/>
      <c r="T76" s="2"/>
      <c r="U76" s="3"/>
      <c r="V76" s="3"/>
      <c r="W76" s="3"/>
      <c r="X76" s="3"/>
      <c r="Y76" s="2"/>
      <c r="Z76" s="2"/>
      <c r="AA76" s="2"/>
    </row>
    <row r="77" s="1" customFormat="1" spans="2:27">
      <c r="B77" s="7"/>
      <c r="C77" s="7"/>
      <c r="D77" s="7"/>
      <c r="E77" s="7"/>
      <c r="F77" s="7"/>
      <c r="G77" s="7"/>
      <c r="M77" s="2"/>
      <c r="N77" s="3"/>
      <c r="O77" s="2"/>
      <c r="P77" s="2"/>
      <c r="Q77" s="2"/>
      <c r="R77" s="2"/>
      <c r="S77" s="2"/>
      <c r="T77" s="2"/>
      <c r="U77" s="3"/>
      <c r="V77" s="3"/>
      <c r="W77" s="3"/>
      <c r="X77" s="3"/>
      <c r="Y77" s="2"/>
      <c r="Z77" s="2"/>
      <c r="AA77" s="2"/>
    </row>
    <row r="78" s="1" customFormat="1" spans="2:27">
      <c r="B78" s="7"/>
      <c r="C78" s="7"/>
      <c r="D78" s="7"/>
      <c r="E78" s="7"/>
      <c r="F78" s="7"/>
      <c r="G78" s="7"/>
      <c r="M78" s="2"/>
      <c r="N78" s="3"/>
      <c r="O78" s="2"/>
      <c r="P78" s="2"/>
      <c r="Q78" s="2"/>
      <c r="R78" s="2"/>
      <c r="S78" s="2"/>
      <c r="T78" s="2"/>
      <c r="U78" s="3"/>
      <c r="V78" s="3"/>
      <c r="W78" s="3"/>
      <c r="X78" s="3"/>
      <c r="Y78" s="2"/>
      <c r="Z78" s="2"/>
      <c r="AA78" s="2"/>
    </row>
    <row r="79" s="1" customFormat="1" spans="2:27">
      <c r="B79" s="7"/>
      <c r="C79" s="7"/>
      <c r="D79" s="7"/>
      <c r="E79" s="7"/>
      <c r="F79" s="7"/>
      <c r="G79" s="7"/>
      <c r="M79" s="2"/>
      <c r="N79" s="3"/>
      <c r="O79" s="2"/>
      <c r="P79" s="2"/>
      <c r="Q79" s="2"/>
      <c r="R79" s="2"/>
      <c r="S79" s="2"/>
      <c r="T79" s="2"/>
      <c r="U79" s="3"/>
      <c r="V79" s="3"/>
      <c r="W79" s="3"/>
      <c r="X79" s="3"/>
      <c r="Y79" s="2"/>
      <c r="Z79" s="2"/>
      <c r="AA79" s="2"/>
    </row>
    <row r="80" s="1" customFormat="1" spans="2:27">
      <c r="B80" s="7"/>
      <c r="C80" s="7"/>
      <c r="D80" s="7"/>
      <c r="E80" s="7"/>
      <c r="F80" s="7"/>
      <c r="G80" s="7"/>
      <c r="M80" s="2"/>
      <c r="N80" s="3"/>
      <c r="O80" s="2"/>
      <c r="P80" s="2"/>
      <c r="Q80" s="2"/>
      <c r="R80" s="2"/>
      <c r="S80" s="2"/>
      <c r="T80" s="2"/>
      <c r="U80" s="3"/>
      <c r="V80" s="3"/>
      <c r="W80" s="3"/>
      <c r="X80" s="3"/>
      <c r="Y80" s="2"/>
      <c r="Z80" s="2"/>
      <c r="AA80" s="2"/>
    </row>
    <row r="81" s="1" customFormat="1" spans="2:27">
      <c r="B81" s="7"/>
      <c r="C81" s="7"/>
      <c r="D81" s="7"/>
      <c r="E81" s="7"/>
      <c r="F81" s="7"/>
      <c r="G81" s="7"/>
      <c r="M81" s="2"/>
      <c r="N81" s="3"/>
      <c r="O81" s="2"/>
      <c r="P81" s="2"/>
      <c r="Q81" s="2"/>
      <c r="R81" s="2"/>
      <c r="S81" s="2"/>
      <c r="T81" s="2"/>
      <c r="U81" s="3"/>
      <c r="V81" s="3"/>
      <c r="W81" s="3"/>
      <c r="X81" s="3"/>
      <c r="Y81" s="2"/>
      <c r="Z81" s="2"/>
      <c r="AA81" s="2"/>
    </row>
    <row r="82" s="1" customFormat="1" spans="2:27">
      <c r="B82" s="7"/>
      <c r="C82" s="7"/>
      <c r="D82" s="7"/>
      <c r="E82" s="7"/>
      <c r="F82" s="7"/>
      <c r="G82" s="7"/>
      <c r="M82" s="2"/>
      <c r="N82" s="3"/>
      <c r="O82" s="2"/>
      <c r="P82" s="2"/>
      <c r="Q82" s="2"/>
      <c r="R82" s="2"/>
      <c r="S82" s="2"/>
      <c r="T82" s="2"/>
      <c r="U82" s="3"/>
      <c r="V82" s="3"/>
      <c r="W82" s="3"/>
      <c r="X82" s="3"/>
      <c r="Y82" s="2"/>
      <c r="Z82" s="2"/>
      <c r="AA82" s="2"/>
    </row>
    <row r="83" s="1" customFormat="1" spans="2:27">
      <c r="B83" s="7"/>
      <c r="C83" s="7"/>
      <c r="D83" s="7"/>
      <c r="E83" s="7"/>
      <c r="F83" s="7"/>
      <c r="G83" s="7"/>
      <c r="M83" s="2"/>
      <c r="N83" s="3"/>
      <c r="O83" s="2"/>
      <c r="P83" s="2"/>
      <c r="Q83" s="2"/>
      <c r="R83" s="2"/>
      <c r="S83" s="2"/>
      <c r="T83" s="2"/>
      <c r="U83" s="3"/>
      <c r="V83" s="3"/>
      <c r="W83" s="3"/>
      <c r="X83" s="3"/>
      <c r="Y83" s="2"/>
      <c r="Z83" s="2"/>
      <c r="AA83" s="2"/>
    </row>
    <row r="84" s="1" customFormat="1" spans="2:27">
      <c r="B84" s="11" t="s">
        <v>290</v>
      </c>
      <c r="C84" s="11"/>
      <c r="D84" s="11"/>
      <c r="E84" s="11"/>
      <c r="F84" s="11"/>
      <c r="G84" s="11"/>
      <c r="M84" s="2"/>
      <c r="N84" s="3"/>
      <c r="O84" s="2"/>
      <c r="P84" s="2"/>
      <c r="Q84" s="2"/>
      <c r="R84" s="2"/>
      <c r="S84" s="2"/>
      <c r="T84" s="2"/>
      <c r="U84" s="3"/>
      <c r="V84" s="3"/>
      <c r="W84" s="3"/>
      <c r="X84" s="3"/>
      <c r="Y84" s="2"/>
      <c r="Z84" s="2"/>
      <c r="AA84" s="2"/>
    </row>
    <row r="85" s="1" customFormat="1" spans="2:27">
      <c r="B85" s="11"/>
      <c r="C85" s="11"/>
      <c r="D85" s="11"/>
      <c r="E85" s="11"/>
      <c r="F85" s="11"/>
      <c r="G85" s="11"/>
      <c r="M85" s="2"/>
      <c r="N85" s="3"/>
      <c r="O85" s="2"/>
      <c r="P85" s="2"/>
      <c r="Q85" s="2"/>
      <c r="R85" s="2"/>
      <c r="S85" s="2"/>
      <c r="T85" s="2"/>
      <c r="U85" s="3"/>
      <c r="V85" s="3"/>
      <c r="W85" s="3"/>
      <c r="X85" s="3"/>
      <c r="Y85" s="2"/>
      <c r="Z85" s="2"/>
      <c r="AA85" s="2"/>
    </row>
    <row r="86" s="1" customFormat="1" spans="2:27">
      <c r="B86" s="11"/>
      <c r="C86" s="11"/>
      <c r="D86" s="11"/>
      <c r="E86" s="11"/>
      <c r="F86" s="11"/>
      <c r="G86" s="11"/>
      <c r="M86" s="2"/>
      <c r="N86" s="3"/>
      <c r="O86" s="2"/>
      <c r="P86" s="2"/>
      <c r="Q86" s="2"/>
      <c r="R86" s="2"/>
      <c r="S86" s="2"/>
      <c r="T86" s="2"/>
      <c r="U86" s="3"/>
      <c r="V86" s="3"/>
      <c r="W86" s="3"/>
      <c r="X86" s="3"/>
      <c r="Y86" s="2"/>
      <c r="Z86" s="2"/>
      <c r="AA86" s="2"/>
    </row>
    <row r="87" s="1" customFormat="1" spans="2:27">
      <c r="B87" s="11"/>
      <c r="C87" s="11"/>
      <c r="D87" s="11"/>
      <c r="E87" s="11"/>
      <c r="F87" s="11"/>
      <c r="G87" s="11"/>
      <c r="M87" s="2"/>
      <c r="N87" s="3"/>
      <c r="O87" s="2"/>
      <c r="P87" s="2"/>
      <c r="Q87" s="2"/>
      <c r="R87" s="2"/>
      <c r="S87" s="2"/>
      <c r="T87" s="2"/>
      <c r="U87" s="3"/>
      <c r="V87" s="3"/>
      <c r="W87" s="3"/>
      <c r="X87" s="3"/>
      <c r="Y87" s="2"/>
      <c r="Z87" s="2"/>
      <c r="AA87" s="2"/>
    </row>
    <row r="88" s="1" customFormat="1" spans="2:27">
      <c r="B88" s="11"/>
      <c r="C88" s="11"/>
      <c r="D88" s="11"/>
      <c r="E88" s="11"/>
      <c r="F88" s="11"/>
      <c r="G88" s="11"/>
      <c r="M88" s="2"/>
      <c r="N88" s="3"/>
      <c r="O88" s="2"/>
      <c r="P88" s="2"/>
      <c r="Q88" s="2"/>
      <c r="R88" s="2"/>
      <c r="S88" s="2"/>
      <c r="T88" s="2"/>
      <c r="U88" s="3"/>
      <c r="V88" s="3"/>
      <c r="W88" s="3"/>
      <c r="X88" s="3"/>
      <c r="Y88" s="2"/>
      <c r="Z88" s="2"/>
      <c r="AA88" s="2"/>
    </row>
    <row r="89" s="1" customFormat="1" spans="2:27">
      <c r="B89" s="11"/>
      <c r="C89" s="11"/>
      <c r="D89" s="11"/>
      <c r="E89" s="11"/>
      <c r="F89" s="11"/>
      <c r="G89" s="11"/>
      <c r="M89" s="2"/>
      <c r="N89" s="3"/>
      <c r="O89" s="2"/>
      <c r="P89" s="2"/>
      <c r="Q89" s="2"/>
      <c r="R89" s="2"/>
      <c r="S89" s="2"/>
      <c r="T89" s="2"/>
      <c r="U89" s="3"/>
      <c r="V89" s="3"/>
      <c r="W89" s="3"/>
      <c r="X89" s="3"/>
      <c r="Y89" s="2"/>
      <c r="Z89" s="2"/>
      <c r="AA89" s="2"/>
    </row>
    <row r="90" s="1" customFormat="1" spans="2:27">
      <c r="B90" s="11"/>
      <c r="C90" s="11"/>
      <c r="D90" s="11"/>
      <c r="E90" s="11"/>
      <c r="F90" s="11"/>
      <c r="G90" s="11"/>
      <c r="M90" s="2"/>
      <c r="N90" s="3"/>
      <c r="O90" s="2"/>
      <c r="P90" s="2"/>
      <c r="Q90" s="2"/>
      <c r="R90" s="2"/>
      <c r="S90" s="2"/>
      <c r="T90" s="2"/>
      <c r="U90" s="3"/>
      <c r="V90" s="3"/>
      <c r="W90" s="3"/>
      <c r="X90" s="3"/>
      <c r="Y90" s="2"/>
      <c r="Z90" s="2"/>
      <c r="AA90" s="2"/>
    </row>
    <row r="91" s="1" customFormat="1" spans="2:27">
      <c r="B91" s="11"/>
      <c r="C91" s="11"/>
      <c r="D91" s="11"/>
      <c r="E91" s="11"/>
      <c r="F91" s="11"/>
      <c r="G91" s="11"/>
      <c r="M91" s="2"/>
      <c r="N91" s="3"/>
      <c r="O91" s="2"/>
      <c r="P91" s="2"/>
      <c r="Q91" s="2"/>
      <c r="R91" s="2"/>
      <c r="S91" s="2"/>
      <c r="T91" s="2"/>
      <c r="U91" s="3"/>
      <c r="V91" s="3"/>
      <c r="W91" s="3"/>
      <c r="X91" s="3"/>
      <c r="Y91" s="2"/>
      <c r="Z91" s="2"/>
      <c r="AA91" s="2"/>
    </row>
    <row r="92" s="1" customFormat="1" spans="2:27">
      <c r="B92" s="11"/>
      <c r="C92" s="11"/>
      <c r="D92" s="11"/>
      <c r="E92" s="11"/>
      <c r="F92" s="11"/>
      <c r="G92" s="11"/>
      <c r="M92" s="2"/>
      <c r="N92" s="3"/>
      <c r="O92" s="2"/>
      <c r="P92" s="2"/>
      <c r="Q92" s="2"/>
      <c r="R92" s="2"/>
      <c r="S92" s="2"/>
      <c r="T92" s="2"/>
      <c r="U92" s="3"/>
      <c r="V92" s="3"/>
      <c r="W92" s="3"/>
      <c r="X92" s="3"/>
      <c r="Y92" s="2"/>
      <c r="Z92" s="2"/>
      <c r="AA92" s="2"/>
    </row>
    <row r="93" s="1" customFormat="1" spans="2:27">
      <c r="B93" s="11"/>
      <c r="C93" s="11"/>
      <c r="D93" s="11"/>
      <c r="E93" s="11"/>
      <c r="F93" s="11"/>
      <c r="G93" s="11"/>
      <c r="M93" s="2"/>
      <c r="N93" s="3"/>
      <c r="O93" s="2"/>
      <c r="P93" s="2"/>
      <c r="Q93" s="2"/>
      <c r="R93" s="2"/>
      <c r="S93" s="2"/>
      <c r="T93" s="2"/>
      <c r="U93" s="3"/>
      <c r="V93" s="3"/>
      <c r="W93" s="3"/>
      <c r="X93" s="3"/>
      <c r="Y93" s="2"/>
      <c r="Z93" s="2"/>
      <c r="AA93" s="2"/>
    </row>
    <row r="94" s="1" customFormat="1" ht="51.95" customHeight="1" spans="2:27">
      <c r="B94" s="11"/>
      <c r="C94" s="11"/>
      <c r="D94" s="11"/>
      <c r="E94" s="11"/>
      <c r="F94" s="11"/>
      <c r="G94" s="11"/>
      <c r="M94" s="2"/>
      <c r="N94" s="3"/>
      <c r="O94" s="2"/>
      <c r="P94" s="2"/>
      <c r="Q94" s="2"/>
      <c r="R94" s="2"/>
      <c r="S94" s="2"/>
      <c r="T94" s="2"/>
      <c r="U94" s="3"/>
      <c r="V94" s="3"/>
      <c r="W94" s="3"/>
      <c r="X94" s="3"/>
      <c r="Y94" s="2"/>
      <c r="Z94" s="2"/>
      <c r="AA94" s="2"/>
    </row>
    <row r="95" s="1" customFormat="1" spans="2:27">
      <c r="B95" s="11"/>
      <c r="C95" s="11"/>
      <c r="D95" s="11"/>
      <c r="E95" s="11"/>
      <c r="F95" s="11"/>
      <c r="G95" s="11"/>
      <c r="M95" s="2"/>
      <c r="N95" s="3"/>
      <c r="O95" s="2"/>
      <c r="P95" s="2"/>
      <c r="Q95" s="2"/>
      <c r="R95" s="2"/>
      <c r="S95" s="2"/>
      <c r="T95" s="2"/>
      <c r="U95" s="3"/>
      <c r="V95" s="3"/>
      <c r="W95" s="3"/>
      <c r="X95" s="3"/>
      <c r="Y95" s="2"/>
      <c r="Z95" s="2"/>
      <c r="AA95" s="2"/>
    </row>
    <row r="96" s="1" customFormat="1" ht="57" customHeight="1" spans="2:27">
      <c r="B96" s="11"/>
      <c r="C96" s="11"/>
      <c r="D96" s="11"/>
      <c r="E96" s="11"/>
      <c r="F96" s="11"/>
      <c r="G96" s="11"/>
      <c r="M96" s="2"/>
      <c r="N96" s="3"/>
      <c r="O96" s="2"/>
      <c r="P96" s="2"/>
      <c r="Q96" s="2"/>
      <c r="R96" s="2"/>
      <c r="S96" s="2"/>
      <c r="T96" s="2"/>
      <c r="U96" s="3"/>
      <c r="V96" s="3"/>
      <c r="W96" s="3"/>
      <c r="X96" s="3"/>
      <c r="Y96" s="2"/>
      <c r="Z96" s="2"/>
      <c r="AA96" s="2"/>
    </row>
    <row r="97" s="1" customFormat="1" spans="2:27">
      <c r="B97" s="11"/>
      <c r="C97" s="11"/>
      <c r="D97" s="11"/>
      <c r="E97" s="11"/>
      <c r="F97" s="11"/>
      <c r="G97" s="11"/>
      <c r="M97" s="2"/>
      <c r="N97" s="3"/>
      <c r="O97" s="2"/>
      <c r="P97" s="2"/>
      <c r="Q97" s="2"/>
      <c r="R97" s="2"/>
      <c r="S97" s="2"/>
      <c r="T97" s="2"/>
      <c r="U97" s="3"/>
      <c r="V97" s="3"/>
      <c r="W97" s="3"/>
      <c r="X97" s="3"/>
      <c r="Y97" s="2"/>
      <c r="Z97" s="2"/>
      <c r="AA97" s="2"/>
    </row>
    <row r="98" s="1" customFormat="1" spans="2:27">
      <c r="B98" s="11"/>
      <c r="C98" s="11"/>
      <c r="D98" s="11"/>
      <c r="E98" s="11"/>
      <c r="F98" s="11"/>
      <c r="G98" s="11"/>
      <c r="M98" s="2"/>
      <c r="N98" s="3"/>
      <c r="O98" s="2"/>
      <c r="P98" s="2"/>
      <c r="Q98" s="2"/>
      <c r="R98" s="2"/>
      <c r="S98" s="2"/>
      <c r="T98" s="2"/>
      <c r="U98" s="3"/>
      <c r="V98" s="3"/>
      <c r="W98" s="3"/>
      <c r="X98" s="3"/>
      <c r="Y98" s="2"/>
      <c r="Z98" s="2"/>
      <c r="AA98" s="2"/>
    </row>
    <row r="99" s="1" customFormat="1" spans="2:27">
      <c r="B99" s="11"/>
      <c r="C99" s="11"/>
      <c r="D99" s="11"/>
      <c r="E99" s="11"/>
      <c r="F99" s="11"/>
      <c r="G99" s="11"/>
      <c r="M99" s="2"/>
      <c r="N99" s="3"/>
      <c r="O99" s="2"/>
      <c r="P99" s="2"/>
      <c r="Q99" s="2"/>
      <c r="R99" s="2"/>
      <c r="S99" s="2"/>
      <c r="T99" s="2"/>
      <c r="U99" s="3"/>
      <c r="V99" s="3"/>
      <c r="W99" s="3"/>
      <c r="X99" s="3"/>
      <c r="Y99" s="2"/>
      <c r="Z99" s="2"/>
      <c r="AA99" s="2"/>
    </row>
    <row r="100" s="1" customFormat="1" spans="2:27">
      <c r="B100" s="11"/>
      <c r="C100" s="11"/>
      <c r="D100" s="11"/>
      <c r="E100" s="11"/>
      <c r="F100" s="11"/>
      <c r="G100" s="11"/>
      <c r="M100" s="2"/>
      <c r="N100" s="3"/>
      <c r="O100" s="2"/>
      <c r="P100" s="2"/>
      <c r="Q100" s="2"/>
      <c r="R100" s="2"/>
      <c r="S100" s="2"/>
      <c r="T100" s="2"/>
      <c r="U100" s="3"/>
      <c r="V100" s="3"/>
      <c r="W100" s="3"/>
      <c r="X100" s="3"/>
      <c r="Y100" s="2"/>
      <c r="Z100" s="2"/>
      <c r="AA100" s="2"/>
    </row>
    <row r="101" s="1" customFormat="1" ht="68.1" customHeight="1" spans="2:27">
      <c r="B101" s="11"/>
      <c r="C101" s="11"/>
      <c r="D101" s="11"/>
      <c r="E101" s="11"/>
      <c r="F101" s="11"/>
      <c r="G101" s="11"/>
      <c r="M101" s="2"/>
      <c r="N101" s="3"/>
      <c r="O101" s="2"/>
      <c r="P101" s="2"/>
      <c r="Q101" s="2"/>
      <c r="R101" s="2"/>
      <c r="S101" s="2"/>
      <c r="T101" s="2"/>
      <c r="U101" s="3"/>
      <c r="V101" s="3"/>
      <c r="W101" s="3"/>
      <c r="X101" s="3"/>
      <c r="Y101" s="2"/>
      <c r="Z101" s="2"/>
      <c r="AA101" s="2"/>
    </row>
    <row r="102" s="1" customFormat="1" ht="32.1" customHeight="1" spans="2:27">
      <c r="B102" s="11"/>
      <c r="C102" s="11"/>
      <c r="D102" s="11"/>
      <c r="E102" s="11"/>
      <c r="F102" s="11"/>
      <c r="G102" s="11"/>
      <c r="M102" s="2"/>
      <c r="N102" s="3"/>
      <c r="O102" s="2"/>
      <c r="P102" s="2"/>
      <c r="Q102" s="2"/>
      <c r="R102" s="2"/>
      <c r="S102" s="2"/>
      <c r="T102" s="2"/>
      <c r="U102" s="3"/>
      <c r="V102" s="3"/>
      <c r="W102" s="3"/>
      <c r="X102" s="3"/>
      <c r="Y102" s="2"/>
      <c r="Z102" s="2"/>
      <c r="AA102" s="2"/>
    </row>
    <row r="103" s="1" customFormat="1" spans="2:27">
      <c r="B103" s="11"/>
      <c r="C103" s="11"/>
      <c r="D103" s="11"/>
      <c r="E103" s="11"/>
      <c r="F103" s="11"/>
      <c r="G103" s="11"/>
      <c r="M103" s="2"/>
      <c r="N103" s="3"/>
      <c r="O103" s="2"/>
      <c r="P103" s="2"/>
      <c r="Q103" s="2"/>
      <c r="R103" s="2"/>
      <c r="S103" s="2"/>
      <c r="T103" s="2"/>
      <c r="U103" s="3"/>
      <c r="V103" s="3"/>
      <c r="W103" s="3"/>
      <c r="X103" s="3"/>
      <c r="Y103" s="2"/>
      <c r="Z103" s="2"/>
      <c r="AA103" s="2"/>
    </row>
    <row r="104" s="1" customFormat="1" spans="2:27">
      <c r="B104" s="11"/>
      <c r="C104" s="11"/>
      <c r="D104" s="11"/>
      <c r="E104" s="11"/>
      <c r="F104" s="11"/>
      <c r="G104" s="11"/>
      <c r="M104" s="2"/>
      <c r="N104" s="3"/>
      <c r="O104" s="2"/>
      <c r="P104" s="2"/>
      <c r="Q104" s="2"/>
      <c r="R104" s="2"/>
      <c r="S104" s="2"/>
      <c r="T104" s="2"/>
      <c r="U104" s="3"/>
      <c r="V104" s="3"/>
      <c r="W104" s="3"/>
      <c r="X104" s="3"/>
      <c r="Y104" s="2"/>
      <c r="Z104" s="2"/>
      <c r="AA104" s="2"/>
    </row>
    <row r="105" s="1" customFormat="1" spans="2:27">
      <c r="B105" s="11"/>
      <c r="C105" s="11"/>
      <c r="D105" s="11"/>
      <c r="E105" s="11"/>
      <c r="F105" s="11"/>
      <c r="G105" s="11"/>
      <c r="M105" s="2"/>
      <c r="N105" s="3"/>
      <c r="O105" s="2"/>
      <c r="P105" s="2"/>
      <c r="Q105" s="2"/>
      <c r="R105" s="2"/>
      <c r="S105" s="2"/>
      <c r="T105" s="2"/>
      <c r="U105" s="3"/>
      <c r="V105" s="3"/>
      <c r="W105" s="3"/>
      <c r="X105" s="3"/>
      <c r="Y105" s="2"/>
      <c r="Z105" s="2"/>
      <c r="AA105" s="2"/>
    </row>
    <row r="106" s="1" customFormat="1" spans="2:27">
      <c r="B106" s="11"/>
      <c r="C106" s="11"/>
      <c r="D106" s="11"/>
      <c r="E106" s="11"/>
      <c r="F106" s="11"/>
      <c r="G106" s="11"/>
      <c r="M106" s="2"/>
      <c r="N106" s="3"/>
      <c r="O106" s="2"/>
      <c r="P106" s="2"/>
      <c r="Q106" s="2"/>
      <c r="R106" s="2"/>
      <c r="S106" s="2"/>
      <c r="T106" s="2"/>
      <c r="U106" s="3"/>
      <c r="V106" s="3"/>
      <c r="W106" s="3"/>
      <c r="X106" s="3"/>
      <c r="Y106" s="2"/>
      <c r="Z106" s="2"/>
      <c r="AA106" s="2"/>
    </row>
    <row r="107" s="1" customFormat="1" spans="2:27">
      <c r="M107" s="2"/>
      <c r="N107" s="3"/>
      <c r="O107" s="2"/>
      <c r="P107" s="2"/>
      <c r="Q107" s="2"/>
      <c r="R107" s="2"/>
      <c r="S107" s="2"/>
      <c r="T107" s="2"/>
      <c r="U107" s="3"/>
      <c r="V107" s="3"/>
      <c r="W107" s="3"/>
      <c r="X107" s="3"/>
      <c r="Y107" s="2"/>
      <c r="Z107" s="2"/>
      <c r="AA107" s="2"/>
    </row>
    <row r="108" s="1" customFormat="1" spans="2:27">
      <c r="M108" s="2"/>
      <c r="N108" s="3"/>
      <c r="O108" s="2"/>
      <c r="P108" s="2"/>
      <c r="Q108" s="2"/>
      <c r="R108" s="2"/>
      <c r="S108" s="2"/>
      <c r="T108" s="2"/>
      <c r="U108" s="3"/>
      <c r="V108" s="3"/>
      <c r="W108" s="3"/>
      <c r="X108" s="3"/>
      <c r="Y108" s="2"/>
      <c r="Z108" s="2"/>
      <c r="AA108" s="2"/>
    </row>
    <row r="109" s="1" customFormat="1" spans="2:27">
      <c r="M109" s="2"/>
      <c r="N109" s="3"/>
      <c r="O109" s="2"/>
      <c r="P109" s="2"/>
      <c r="Q109" s="2"/>
      <c r="R109" s="2"/>
      <c r="S109" s="2"/>
      <c r="T109" s="2"/>
      <c r="U109" s="3"/>
      <c r="V109" s="3"/>
      <c r="W109" s="3"/>
      <c r="X109" s="3"/>
      <c r="Y109" s="2"/>
      <c r="Z109" s="2"/>
      <c r="AA109" s="2"/>
    </row>
    <row r="110" s="1" customFormat="1" spans="2:27">
      <c r="M110" s="2"/>
      <c r="N110" s="3"/>
      <c r="O110" s="2"/>
      <c r="P110" s="2"/>
      <c r="Q110" s="2"/>
      <c r="R110" s="2"/>
      <c r="S110" s="2"/>
      <c r="T110" s="2"/>
      <c r="U110" s="3"/>
      <c r="V110" s="3"/>
      <c r="W110" s="3"/>
      <c r="X110" s="3"/>
      <c r="Y110" s="2"/>
      <c r="Z110" s="2"/>
      <c r="AA110" s="2"/>
    </row>
    <row r="111" s="1" customFormat="1" spans="2:27">
      <c r="M111" s="2"/>
      <c r="N111" s="3"/>
      <c r="O111" s="2"/>
      <c r="P111" s="2"/>
      <c r="Q111" s="2"/>
      <c r="R111" s="2"/>
      <c r="S111" s="2"/>
      <c r="T111" s="2"/>
      <c r="U111" s="3"/>
      <c r="V111" s="3"/>
      <c r="W111" s="3"/>
      <c r="X111" s="3"/>
      <c r="Y111" s="2"/>
      <c r="Z111" s="2"/>
      <c r="AA111" s="2"/>
    </row>
    <row r="112" s="1" customFormat="1" spans="2:27">
      <c r="M112" s="2"/>
      <c r="N112" s="3"/>
      <c r="O112" s="2"/>
      <c r="P112" s="2"/>
      <c r="Q112" s="2"/>
      <c r="R112" s="2"/>
      <c r="S112" s="2"/>
      <c r="T112" s="2"/>
      <c r="U112" s="3"/>
      <c r="V112" s="3"/>
      <c r="W112" s="3"/>
      <c r="X112" s="3"/>
      <c r="Y112" s="2"/>
      <c r="Z112" s="2"/>
      <c r="AA112" s="2"/>
    </row>
    <row r="113" s="1" customFormat="1" spans="2:27">
      <c r="M113" s="2"/>
      <c r="N113" s="3"/>
      <c r="O113" s="2"/>
      <c r="P113" s="2"/>
      <c r="Q113" s="2"/>
      <c r="R113" s="2"/>
      <c r="S113" s="2"/>
      <c r="T113" s="2"/>
      <c r="U113" s="3"/>
      <c r="V113" s="3"/>
      <c r="W113" s="3"/>
      <c r="X113" s="3"/>
      <c r="Y113" s="2"/>
      <c r="Z113" s="2"/>
      <c r="AA113" s="2"/>
    </row>
    <row r="114" s="1" customFormat="1" spans="2:27">
      <c r="M114" s="2"/>
      <c r="N114" s="3"/>
      <c r="O114" s="2"/>
      <c r="P114" s="2"/>
      <c r="Q114" s="2"/>
      <c r="R114" s="2"/>
      <c r="S114" s="2"/>
      <c r="T114" s="2"/>
      <c r="U114" s="3"/>
      <c r="V114" s="3"/>
      <c r="W114" s="3"/>
      <c r="X114" s="3"/>
      <c r="Y114" s="2"/>
      <c r="Z114" s="2"/>
      <c r="AA114" s="2"/>
    </row>
    <row r="115" s="1" customFormat="1" spans="2:27">
      <c r="M115" s="2"/>
      <c r="N115" s="3"/>
      <c r="O115" s="2"/>
      <c r="P115" s="2"/>
      <c r="Q115" s="2"/>
      <c r="R115" s="2"/>
      <c r="S115" s="2"/>
      <c r="T115" s="2"/>
      <c r="U115" s="3"/>
      <c r="V115" s="3"/>
      <c r="W115" s="3"/>
      <c r="X115" s="3"/>
      <c r="Y115" s="2"/>
      <c r="Z115" s="2"/>
      <c r="AA115" s="2"/>
    </row>
    <row r="116" s="1" customFormat="1" spans="2:27">
      <c r="M116" s="2"/>
      <c r="N116" s="3"/>
      <c r="O116" s="2"/>
      <c r="P116" s="2"/>
      <c r="Q116" s="2"/>
      <c r="R116" s="2"/>
      <c r="S116" s="2"/>
      <c r="T116" s="2"/>
      <c r="U116" s="3"/>
      <c r="V116" s="3"/>
      <c r="W116" s="3"/>
      <c r="X116" s="3"/>
      <c r="Y116" s="2"/>
      <c r="Z116" s="2"/>
      <c r="AA116" s="2"/>
    </row>
    <row r="117" s="1" customFormat="1" spans="2:27">
      <c r="M117" s="2"/>
      <c r="N117" s="3"/>
      <c r="O117" s="2"/>
      <c r="P117" s="2"/>
      <c r="Q117" s="2"/>
      <c r="R117" s="2"/>
      <c r="S117" s="2"/>
      <c r="T117" s="2"/>
      <c r="U117" s="3"/>
      <c r="V117" s="3"/>
      <c r="W117" s="3"/>
      <c r="X117" s="3"/>
      <c r="Y117" s="2"/>
      <c r="Z117" s="2"/>
      <c r="AA117" s="2"/>
    </row>
    <row r="118" s="1" customFormat="1" spans="2:27">
      <c r="M118" s="2"/>
      <c r="N118" s="3"/>
      <c r="O118" s="2"/>
      <c r="P118" s="2"/>
      <c r="Q118" s="2"/>
      <c r="R118" s="2"/>
      <c r="S118" s="2"/>
      <c r="T118" s="2"/>
      <c r="U118" s="3"/>
      <c r="V118" s="3"/>
      <c r="W118" s="3"/>
      <c r="X118" s="3"/>
      <c r="Y118" s="2"/>
      <c r="Z118" s="2"/>
      <c r="AA118" s="2"/>
    </row>
    <row r="119" s="1" customFormat="1" spans="2:27">
      <c r="M119" s="2"/>
      <c r="N119" s="3"/>
      <c r="O119" s="2"/>
      <c r="P119" s="2"/>
      <c r="Q119" s="2"/>
      <c r="R119" s="2"/>
      <c r="S119" s="2"/>
      <c r="T119" s="2"/>
      <c r="U119" s="3"/>
      <c r="V119" s="3"/>
      <c r="W119" s="3"/>
      <c r="X119" s="3"/>
      <c r="Y119" s="2"/>
      <c r="Z119" s="2"/>
      <c r="AA119" s="2"/>
    </row>
    <row r="120" s="1" customFormat="1" spans="2:27">
      <c r="M120" s="2"/>
      <c r="N120" s="3"/>
      <c r="O120" s="2"/>
      <c r="P120" s="2"/>
      <c r="Q120" s="2"/>
      <c r="R120" s="2"/>
      <c r="S120" s="2"/>
      <c r="T120" s="2"/>
      <c r="U120" s="3"/>
      <c r="V120" s="3"/>
      <c r="W120" s="3"/>
      <c r="X120" s="3"/>
      <c r="Y120" s="2"/>
      <c r="Z120" s="2"/>
      <c r="AA120" s="2"/>
    </row>
    <row r="121" s="1" customFormat="1" spans="2:27">
      <c r="M121" s="2"/>
      <c r="N121" s="3"/>
      <c r="O121" s="2"/>
      <c r="P121" s="2"/>
      <c r="Q121" s="2"/>
      <c r="R121" s="2"/>
      <c r="S121" s="2"/>
      <c r="T121" s="2"/>
      <c r="U121" s="3"/>
      <c r="V121" s="3"/>
      <c r="W121" s="3"/>
      <c r="X121" s="3"/>
      <c r="Y121" s="2"/>
      <c r="Z121" s="2"/>
      <c r="AA121" s="2"/>
    </row>
    <row r="122" s="1" customFormat="1" spans="2:27">
      <c r="M122" s="2"/>
      <c r="N122" s="3"/>
      <c r="O122" s="2"/>
      <c r="P122" s="2"/>
      <c r="Q122" s="2"/>
      <c r="R122" s="2"/>
      <c r="S122" s="2"/>
      <c r="T122" s="2"/>
      <c r="U122" s="3"/>
      <c r="V122" s="3"/>
      <c r="W122" s="3"/>
      <c r="X122" s="3"/>
      <c r="Y122" s="2"/>
      <c r="Z122" s="2"/>
      <c r="AA122" s="2"/>
    </row>
    <row r="123" s="1" customFormat="1" spans="2:27">
      <c r="M123" s="2"/>
      <c r="N123" s="3"/>
      <c r="O123" s="2"/>
      <c r="P123" s="2"/>
      <c r="Q123" s="2"/>
      <c r="R123" s="2"/>
      <c r="S123" s="2"/>
      <c r="T123" s="2"/>
      <c r="U123" s="3"/>
      <c r="V123" s="3"/>
      <c r="W123" s="3"/>
      <c r="X123" s="3"/>
      <c r="Y123" s="2"/>
      <c r="Z123" s="2"/>
      <c r="AA123" s="2"/>
    </row>
    <row r="124" s="1" customFormat="1" spans="2:27">
      <c r="M124" s="2"/>
      <c r="N124" s="3"/>
      <c r="O124" s="2"/>
      <c r="P124" s="2"/>
      <c r="Q124" s="2"/>
      <c r="R124" s="2"/>
      <c r="S124" s="2"/>
      <c r="T124" s="2"/>
      <c r="U124" s="3"/>
      <c r="V124" s="3"/>
      <c r="W124" s="3"/>
      <c r="X124" s="3"/>
      <c r="Y124" s="2"/>
      <c r="Z124" s="2"/>
      <c r="AA124" s="2"/>
    </row>
    <row r="125" s="1" customFormat="1" spans="2:27">
      <c r="M125" s="2"/>
      <c r="N125" s="3"/>
      <c r="O125" s="2"/>
      <c r="P125" s="2"/>
      <c r="Q125" s="2"/>
      <c r="R125" s="2"/>
      <c r="S125" s="2"/>
      <c r="T125" s="2"/>
      <c r="U125" s="3"/>
      <c r="V125" s="3"/>
      <c r="W125" s="3"/>
      <c r="X125" s="3"/>
      <c r="Y125" s="2"/>
      <c r="Z125" s="2"/>
      <c r="AA125" s="2"/>
    </row>
    <row r="126" s="1" customFormat="1" spans="2:27">
      <c r="M126" s="2"/>
      <c r="N126" s="3"/>
      <c r="O126" s="2"/>
      <c r="P126" s="2"/>
      <c r="Q126" s="2"/>
      <c r="R126" s="2"/>
      <c r="S126" s="2"/>
      <c r="T126" s="2"/>
      <c r="U126" s="3"/>
      <c r="V126" s="3"/>
      <c r="W126" s="3"/>
      <c r="X126" s="3"/>
      <c r="Y126" s="2"/>
      <c r="Z126" s="2"/>
      <c r="AA126" s="2"/>
    </row>
    <row r="127" s="1" customFormat="1" spans="2:27">
      <c r="B127" s="11" t="s">
        <v>291</v>
      </c>
      <c r="C127" s="12"/>
      <c r="D127" s="12"/>
      <c r="E127" s="12"/>
      <c r="F127" s="12"/>
      <c r="M127" s="2"/>
      <c r="N127" s="3"/>
      <c r="O127" s="2"/>
      <c r="P127" s="2"/>
      <c r="Q127" s="2"/>
      <c r="R127" s="2"/>
      <c r="S127" s="2"/>
      <c r="T127" s="2"/>
      <c r="U127" s="3"/>
      <c r="V127" s="3"/>
      <c r="W127" s="3"/>
      <c r="X127" s="3"/>
      <c r="Y127" s="2"/>
      <c r="Z127" s="2"/>
      <c r="AA127" s="2"/>
    </row>
    <row r="128" s="1" customFormat="1" spans="2:27">
      <c r="B128" s="12"/>
      <c r="C128" s="12"/>
      <c r="D128" s="12"/>
      <c r="E128" s="12"/>
      <c r="F128" s="12"/>
      <c r="M128" s="2"/>
      <c r="N128" s="3"/>
      <c r="O128" s="2"/>
      <c r="P128" s="2"/>
      <c r="Q128" s="2"/>
      <c r="R128" s="2"/>
      <c r="S128" s="2"/>
      <c r="T128" s="2"/>
      <c r="U128" s="3"/>
      <c r="V128" s="3"/>
      <c r="W128" s="3"/>
      <c r="X128" s="3"/>
      <c r="Y128" s="2"/>
      <c r="Z128" s="2"/>
      <c r="AA128" s="2"/>
    </row>
    <row r="129" s="1" customFormat="1" spans="2:27">
      <c r="B129" s="12"/>
      <c r="C129" s="12"/>
      <c r="D129" s="12"/>
      <c r="E129" s="12"/>
      <c r="F129" s="12"/>
      <c r="M129" s="2"/>
      <c r="N129" s="3"/>
      <c r="O129" s="2"/>
      <c r="P129" s="2"/>
      <c r="Q129" s="2"/>
      <c r="R129" s="2"/>
      <c r="S129" s="2"/>
      <c r="T129" s="2"/>
      <c r="U129" s="3"/>
      <c r="V129" s="3"/>
      <c r="W129" s="3"/>
      <c r="X129" s="3"/>
      <c r="Y129" s="2"/>
      <c r="Z129" s="2"/>
      <c r="AA129" s="2"/>
    </row>
    <row r="130" s="1" customFormat="1" spans="2:27">
      <c r="B130" s="12"/>
      <c r="C130" s="12"/>
      <c r="D130" s="12"/>
      <c r="E130" s="12"/>
      <c r="F130" s="12"/>
      <c r="M130" s="2"/>
      <c r="N130" s="3"/>
      <c r="O130" s="2"/>
      <c r="P130" s="2"/>
      <c r="Q130" s="2"/>
      <c r="R130" s="2"/>
      <c r="S130" s="2"/>
      <c r="T130" s="2"/>
      <c r="U130" s="3"/>
      <c r="V130" s="3"/>
      <c r="W130" s="3"/>
      <c r="X130" s="3"/>
      <c r="Y130" s="2"/>
      <c r="Z130" s="2"/>
      <c r="AA130" s="2"/>
    </row>
    <row r="131" s="1" customFormat="1" spans="2:27">
      <c r="B131" s="12"/>
      <c r="C131" s="12"/>
      <c r="D131" s="12"/>
      <c r="E131" s="12"/>
      <c r="F131" s="12"/>
      <c r="M131" s="2"/>
      <c r="N131" s="3"/>
      <c r="O131" s="2"/>
      <c r="P131" s="2"/>
      <c r="Q131" s="2"/>
      <c r="R131" s="2"/>
      <c r="S131" s="2"/>
      <c r="T131" s="2"/>
      <c r="U131" s="3"/>
      <c r="V131" s="3"/>
      <c r="W131" s="3"/>
      <c r="X131" s="3"/>
      <c r="Y131" s="2"/>
      <c r="Z131" s="2"/>
      <c r="AA131" s="2"/>
    </row>
    <row r="132" s="1" customFormat="1" spans="2:27">
      <c r="B132" s="12"/>
      <c r="C132" s="12"/>
      <c r="D132" s="12"/>
      <c r="E132" s="12"/>
      <c r="F132" s="12"/>
      <c r="M132" s="2"/>
      <c r="N132" s="3"/>
      <c r="O132" s="2"/>
      <c r="P132" s="2"/>
      <c r="Q132" s="2"/>
      <c r="R132" s="2"/>
      <c r="S132" s="2"/>
      <c r="T132" s="2"/>
      <c r="U132" s="3"/>
      <c r="V132" s="3"/>
      <c r="W132" s="3"/>
      <c r="X132" s="3"/>
      <c r="Y132" s="2"/>
      <c r="Z132" s="2"/>
      <c r="AA132" s="2"/>
    </row>
    <row r="133" s="1" customFormat="1" ht="42" customHeight="1" spans="2:27">
      <c r="B133" s="12"/>
      <c r="C133" s="12"/>
      <c r="D133" s="12"/>
      <c r="E133" s="12"/>
      <c r="F133" s="12"/>
      <c r="M133" s="2"/>
      <c r="N133" s="3"/>
      <c r="O133" s="2"/>
      <c r="P133" s="2"/>
      <c r="Q133" s="2"/>
      <c r="R133" s="2"/>
      <c r="S133" s="2"/>
      <c r="T133" s="2"/>
      <c r="U133" s="3"/>
      <c r="V133" s="3"/>
      <c r="W133" s="3"/>
      <c r="X133" s="3"/>
      <c r="Y133" s="2"/>
      <c r="Z133" s="2"/>
      <c r="AA133" s="2"/>
    </row>
    <row r="134" s="1" customFormat="1" spans="2:27">
      <c r="B134" s="12"/>
      <c r="C134" s="12"/>
      <c r="D134" s="12"/>
      <c r="E134" s="12"/>
      <c r="F134" s="12"/>
      <c r="M134" s="2"/>
      <c r="N134" s="3"/>
      <c r="O134" s="2"/>
      <c r="P134" s="2"/>
      <c r="Q134" s="2"/>
      <c r="R134" s="2"/>
      <c r="S134" s="2"/>
      <c r="T134" s="2"/>
      <c r="U134" s="3"/>
      <c r="V134" s="3"/>
      <c r="W134" s="3"/>
      <c r="X134" s="3"/>
      <c r="Y134" s="2"/>
      <c r="Z134" s="2"/>
      <c r="AA134" s="2"/>
    </row>
    <row r="135" s="1" customFormat="1" spans="2:27">
      <c r="B135" s="12"/>
      <c r="C135" s="12"/>
      <c r="D135" s="12"/>
      <c r="E135" s="12"/>
      <c r="F135" s="12"/>
      <c r="M135" s="2"/>
      <c r="N135" s="3"/>
      <c r="O135" s="2"/>
      <c r="P135" s="2"/>
      <c r="Q135" s="2"/>
      <c r="R135" s="2"/>
      <c r="S135" s="2"/>
      <c r="T135" s="2"/>
      <c r="U135" s="3"/>
      <c r="V135" s="3"/>
      <c r="W135" s="3"/>
      <c r="X135" s="3"/>
      <c r="Y135" s="2"/>
      <c r="Z135" s="2"/>
      <c r="AA135" s="2"/>
    </row>
    <row r="136" s="1" customFormat="1" ht="39.95" customHeight="1" spans="2:27">
      <c r="B136" s="12"/>
      <c r="C136" s="12"/>
      <c r="D136" s="12"/>
      <c r="E136" s="12"/>
      <c r="F136" s="12"/>
      <c r="M136" s="2"/>
      <c r="N136" s="3"/>
      <c r="O136" s="2"/>
      <c r="P136" s="2"/>
      <c r="Q136" s="2"/>
      <c r="R136" s="2"/>
      <c r="S136" s="2"/>
      <c r="T136" s="2"/>
      <c r="U136" s="3"/>
      <c r="V136" s="3"/>
      <c r="W136" s="3"/>
      <c r="X136" s="3"/>
      <c r="Y136" s="2"/>
      <c r="Z136" s="2"/>
      <c r="AA136" s="2"/>
    </row>
    <row r="137" s="1" customFormat="1" spans="2:27">
      <c r="B137" s="12"/>
      <c r="C137" s="12"/>
      <c r="D137" s="12"/>
      <c r="E137" s="12"/>
      <c r="F137" s="12"/>
      <c r="M137" s="2"/>
      <c r="N137" s="3"/>
      <c r="O137" s="2"/>
      <c r="P137" s="2"/>
      <c r="Q137" s="2"/>
      <c r="R137" s="2"/>
      <c r="S137" s="2"/>
      <c r="T137" s="2"/>
      <c r="U137" s="3"/>
      <c r="V137" s="3"/>
      <c r="W137" s="3"/>
      <c r="X137" s="3"/>
      <c r="Y137" s="2"/>
      <c r="Z137" s="2"/>
      <c r="AA137" s="2"/>
    </row>
    <row r="138" s="1" customFormat="1" spans="2:27">
      <c r="B138" s="12"/>
      <c r="C138" s="12"/>
      <c r="D138" s="12"/>
      <c r="E138" s="12"/>
      <c r="F138" s="12"/>
      <c r="M138" s="2"/>
      <c r="N138" s="3"/>
      <c r="O138" s="2"/>
      <c r="P138" s="2"/>
      <c r="Q138" s="2"/>
      <c r="R138" s="2"/>
      <c r="S138" s="2"/>
      <c r="T138" s="2"/>
      <c r="U138" s="3"/>
      <c r="V138" s="3"/>
      <c r="W138" s="3"/>
      <c r="X138" s="3"/>
      <c r="Y138" s="2"/>
      <c r="Z138" s="2"/>
      <c r="AA138" s="2"/>
    </row>
    <row r="139" s="1" customFormat="1" spans="2:27">
      <c r="B139" s="12"/>
      <c r="C139" s="12"/>
      <c r="D139" s="12"/>
      <c r="E139" s="12"/>
      <c r="F139" s="12"/>
      <c r="M139" s="2"/>
      <c r="N139" s="3"/>
      <c r="O139" s="2"/>
      <c r="P139" s="2"/>
      <c r="Q139" s="2"/>
      <c r="R139" s="2"/>
      <c r="S139" s="2"/>
      <c r="T139" s="2"/>
      <c r="U139" s="3"/>
      <c r="V139" s="3"/>
      <c r="W139" s="3"/>
      <c r="X139" s="3"/>
      <c r="Y139" s="2"/>
      <c r="Z139" s="2"/>
      <c r="AA139" s="2"/>
    </row>
    <row r="140" s="1" customFormat="1" spans="2:27">
      <c r="B140" s="12"/>
      <c r="C140" s="12"/>
      <c r="D140" s="12"/>
      <c r="E140" s="12"/>
      <c r="F140" s="12"/>
      <c r="M140" s="2"/>
      <c r="N140" s="3"/>
      <c r="O140" s="2"/>
      <c r="P140" s="2"/>
      <c r="Q140" s="2"/>
      <c r="R140" s="2"/>
      <c r="S140" s="2"/>
      <c r="T140" s="2"/>
      <c r="U140" s="3"/>
      <c r="V140" s="3"/>
      <c r="W140" s="3"/>
      <c r="X140" s="3"/>
      <c r="Y140" s="2"/>
      <c r="Z140" s="2"/>
      <c r="AA140" s="2"/>
    </row>
    <row r="141" s="1" customFormat="1" spans="2:27">
      <c r="M141" s="2"/>
      <c r="N141" s="3"/>
      <c r="O141" s="2"/>
      <c r="P141" s="2"/>
      <c r="Q141" s="2"/>
      <c r="R141" s="2"/>
      <c r="S141" s="2"/>
      <c r="T141" s="2"/>
      <c r="U141" s="3"/>
      <c r="V141" s="3"/>
      <c r="W141" s="3"/>
      <c r="X141" s="3"/>
      <c r="Y141" s="2"/>
      <c r="Z141" s="2"/>
      <c r="AA141" s="2"/>
    </row>
    <row r="142" s="1" customFormat="1" spans="2:27">
      <c r="M142" s="2"/>
      <c r="N142" s="3"/>
      <c r="O142" s="2"/>
      <c r="P142" s="2"/>
      <c r="Q142" s="2"/>
      <c r="R142" s="2"/>
      <c r="S142" s="2"/>
      <c r="T142" s="2"/>
      <c r="U142" s="3"/>
      <c r="V142" s="3"/>
      <c r="W142" s="3"/>
      <c r="X142" s="3"/>
      <c r="Y142" s="2"/>
      <c r="Z142" s="2"/>
      <c r="AA142" s="2"/>
    </row>
    <row r="143" s="1" customFormat="1" spans="2:27">
      <c r="M143" s="2"/>
      <c r="N143" s="3"/>
      <c r="O143" s="2"/>
      <c r="P143" s="2"/>
      <c r="Q143" s="2"/>
      <c r="R143" s="2"/>
      <c r="S143" s="2"/>
      <c r="T143" s="2"/>
      <c r="U143" s="3"/>
      <c r="V143" s="3"/>
      <c r="W143" s="3"/>
      <c r="X143" s="3"/>
      <c r="Y143" s="2"/>
      <c r="Z143" s="2"/>
      <c r="AA143" s="2"/>
    </row>
    <row r="144" s="1" customFormat="1" spans="2:27">
      <c r="M144" s="2"/>
      <c r="N144" s="3"/>
      <c r="O144" s="2"/>
      <c r="P144" s="2"/>
      <c r="Q144" s="2"/>
      <c r="R144" s="2"/>
      <c r="S144" s="2"/>
      <c r="T144" s="2"/>
      <c r="U144" s="3"/>
      <c r="V144" s="3"/>
      <c r="W144" s="3"/>
      <c r="X144" s="3"/>
      <c r="Y144" s="2"/>
      <c r="Z144" s="2"/>
      <c r="AA144" s="2"/>
    </row>
    <row r="145" s="1" customFormat="1" spans="13:27">
      <c r="M145" s="2"/>
      <c r="N145" s="3"/>
      <c r="O145" s="2"/>
      <c r="P145" s="2"/>
      <c r="Q145" s="2"/>
      <c r="R145" s="2"/>
      <c r="S145" s="2"/>
      <c r="T145" s="2"/>
      <c r="U145" s="3"/>
      <c r="V145" s="3"/>
      <c r="W145" s="3"/>
      <c r="X145" s="3"/>
      <c r="Y145" s="2"/>
      <c r="Z145" s="2"/>
      <c r="AA145" s="2"/>
    </row>
    <row r="146" s="1" customFormat="1" spans="13:27">
      <c r="M146" s="2"/>
      <c r="N146" s="3"/>
      <c r="O146" s="2"/>
      <c r="P146" s="2"/>
      <c r="Q146" s="2"/>
      <c r="R146" s="2"/>
      <c r="S146" s="2"/>
      <c r="T146" s="2"/>
      <c r="U146" s="3"/>
      <c r="V146" s="3"/>
      <c r="W146" s="3"/>
      <c r="X146" s="3"/>
      <c r="Y146" s="2"/>
      <c r="Z146" s="2"/>
      <c r="AA146" s="2"/>
    </row>
    <row r="147" s="1" customFormat="1" spans="13:27">
      <c r="M147" s="2"/>
      <c r="N147" s="3"/>
      <c r="O147" s="2"/>
      <c r="P147" s="2"/>
      <c r="Q147" s="2"/>
      <c r="R147" s="2"/>
      <c r="S147" s="2"/>
      <c r="T147" s="2"/>
      <c r="U147" s="3"/>
      <c r="V147" s="3"/>
      <c r="W147" s="3"/>
      <c r="X147" s="3"/>
      <c r="Y147" s="2"/>
      <c r="Z147" s="2"/>
      <c r="AA147" s="2"/>
    </row>
    <row r="148" s="1" customFormat="1" spans="13:27">
      <c r="M148" s="2"/>
      <c r="N148" s="3"/>
      <c r="O148" s="2"/>
      <c r="P148" s="2"/>
      <c r="Q148" s="2"/>
      <c r="R148" s="2"/>
      <c r="S148" s="2"/>
      <c r="T148" s="2"/>
      <c r="U148" s="3"/>
      <c r="V148" s="3"/>
      <c r="W148" s="3"/>
      <c r="X148" s="3"/>
      <c r="Y148" s="2"/>
      <c r="Z148" s="2"/>
      <c r="AA148" s="2"/>
    </row>
    <row r="149" s="1" customFormat="1" spans="13:27">
      <c r="M149" s="2"/>
      <c r="N149" s="3"/>
      <c r="O149" s="2"/>
      <c r="P149" s="2"/>
      <c r="Q149" s="2"/>
      <c r="R149" s="2"/>
      <c r="S149" s="2"/>
      <c r="T149" s="2"/>
      <c r="U149" s="3"/>
      <c r="V149" s="3"/>
      <c r="W149" s="3"/>
      <c r="X149" s="3"/>
      <c r="Y149" s="2"/>
      <c r="Z149" s="2"/>
      <c r="AA149" s="2"/>
    </row>
    <row r="150" s="1" customFormat="1" spans="13:27">
      <c r="M150" s="2"/>
      <c r="N150" s="3"/>
      <c r="O150" s="2"/>
      <c r="P150" s="2"/>
      <c r="Q150" s="2"/>
      <c r="R150" s="2"/>
      <c r="S150" s="2"/>
      <c r="T150" s="2"/>
      <c r="U150" s="3"/>
      <c r="V150" s="3"/>
      <c r="W150" s="3"/>
      <c r="X150" s="3"/>
      <c r="Y150" s="2"/>
      <c r="Z150" s="2"/>
      <c r="AA150" s="2"/>
    </row>
    <row r="151" s="1" customFormat="1" spans="13:27">
      <c r="M151" s="2"/>
      <c r="N151" s="3"/>
      <c r="O151" s="2"/>
      <c r="P151" s="2"/>
      <c r="Q151" s="2"/>
      <c r="R151" s="2"/>
      <c r="S151" s="2"/>
      <c r="T151" s="2"/>
      <c r="U151" s="3"/>
      <c r="V151" s="3"/>
      <c r="W151" s="3"/>
      <c r="X151" s="3"/>
      <c r="Y151" s="2"/>
      <c r="Z151" s="2"/>
      <c r="AA151" s="2"/>
    </row>
    <row r="152" s="1" customFormat="1" spans="13:27">
      <c r="M152" s="2"/>
      <c r="N152" s="3"/>
      <c r="O152" s="2"/>
      <c r="P152" s="2"/>
      <c r="Q152" s="2"/>
      <c r="R152" s="2"/>
      <c r="S152" s="2"/>
      <c r="T152" s="2"/>
      <c r="U152" s="3"/>
      <c r="V152" s="3"/>
      <c r="W152" s="3"/>
      <c r="X152" s="3"/>
      <c r="Y152" s="2"/>
      <c r="Z152" s="2"/>
      <c r="AA152" s="2"/>
    </row>
    <row r="153" s="1" customFormat="1" spans="13:27">
      <c r="M153" s="2"/>
      <c r="N153" s="3"/>
      <c r="O153" s="2"/>
      <c r="P153" s="2"/>
      <c r="Q153" s="2"/>
      <c r="R153" s="2"/>
      <c r="S153" s="2"/>
      <c r="T153" s="2"/>
      <c r="U153" s="3"/>
      <c r="V153" s="3"/>
      <c r="W153" s="3"/>
      <c r="X153" s="3"/>
      <c r="Y153" s="2"/>
      <c r="Z153" s="2"/>
      <c r="AA153" s="2"/>
    </row>
    <row r="154" s="1" customFormat="1" spans="13:27">
      <c r="M154" s="2"/>
      <c r="N154" s="3"/>
      <c r="O154" s="2"/>
      <c r="P154" s="2"/>
      <c r="Q154" s="2"/>
      <c r="R154" s="2"/>
      <c r="S154" s="2"/>
      <c r="T154" s="2"/>
      <c r="U154" s="3"/>
      <c r="V154" s="3"/>
      <c r="W154" s="3"/>
      <c r="X154" s="3"/>
      <c r="Y154" s="2"/>
      <c r="Z154" s="2"/>
      <c r="AA154" s="2"/>
    </row>
    <row r="155" s="1" customFormat="1" spans="13:27">
      <c r="M155" s="2"/>
      <c r="N155" s="3"/>
      <c r="O155" s="2"/>
      <c r="P155" s="2"/>
      <c r="Q155" s="2"/>
      <c r="R155" s="2"/>
      <c r="S155" s="2"/>
      <c r="T155" s="2"/>
      <c r="U155" s="3"/>
      <c r="V155" s="3"/>
      <c r="W155" s="3"/>
      <c r="X155" s="3"/>
      <c r="Y155" s="2"/>
      <c r="Z155" s="2"/>
      <c r="AA155" s="2"/>
    </row>
    <row r="156" s="1" customFormat="1" spans="13:27">
      <c r="M156" s="2"/>
      <c r="N156" s="3"/>
      <c r="O156" s="2"/>
      <c r="P156" s="2"/>
      <c r="Q156" s="2"/>
      <c r="R156" s="2"/>
      <c r="S156" s="2"/>
      <c r="T156" s="2"/>
      <c r="U156" s="3"/>
      <c r="V156" s="3"/>
      <c r="W156" s="3"/>
      <c r="X156" s="3"/>
      <c r="Y156" s="2"/>
      <c r="Z156" s="2"/>
      <c r="AA156" s="2"/>
    </row>
    <row r="157" s="1" customFormat="1" spans="13:27">
      <c r="M157" s="2"/>
      <c r="N157" s="3"/>
      <c r="O157" s="2"/>
      <c r="P157" s="2"/>
      <c r="Q157" s="2"/>
      <c r="R157" s="2"/>
      <c r="S157" s="2"/>
      <c r="T157" s="2"/>
      <c r="U157" s="3"/>
      <c r="V157" s="3"/>
      <c r="W157" s="3"/>
      <c r="X157" s="3"/>
      <c r="Y157" s="2"/>
      <c r="Z157" s="2"/>
      <c r="AA157" s="2"/>
    </row>
    <row r="158" s="1" customFormat="1" spans="13:27">
      <c r="M158" s="2"/>
      <c r="N158" s="3"/>
      <c r="O158" s="2"/>
      <c r="P158" s="2"/>
      <c r="Q158" s="2"/>
      <c r="R158" s="2"/>
      <c r="S158" s="2"/>
      <c r="T158" s="2"/>
      <c r="U158" s="3"/>
      <c r="V158" s="3"/>
      <c r="W158" s="3"/>
      <c r="X158" s="3"/>
      <c r="Y158" s="2"/>
      <c r="Z158" s="2"/>
      <c r="AA158" s="2"/>
    </row>
  </sheetData>
  <mergeCells count="9">
    <mergeCell ref="B2:I2"/>
    <mergeCell ref="T29:AC44"/>
    <mergeCell ref="T46:AC54"/>
    <mergeCell ref="B59:G83"/>
    <mergeCell ref="B84:G106"/>
    <mergeCell ref="B127:F140"/>
    <mergeCell ref="B41:G58"/>
    <mergeCell ref="B28:G39"/>
    <mergeCell ref="B3:L2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Ｐ-Ｑ图分析</vt:lpstr>
      <vt:lpstr>压铸机、合金参考资料</vt:lpstr>
      <vt:lpstr>学习资料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曲学良</cp:lastModifiedBy>
  <cp:revision>1</cp:revision>
  <dcterms:created xsi:type="dcterms:W3CDTF">2015-11-16T02:09:00Z</dcterms:created>
  <dcterms:modified xsi:type="dcterms:W3CDTF">2026-10-16T08:08:37Z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ICV">
    <vt:lpwstr>7AC63948B7FF48179A40395714F18D5A_13</vt:lpwstr>
  </property>
  <property fmtid="{D5CDD505-2E9C-101B-9397-08002B2CF9AE}" pid="4" name="CalculationRule">
    <vt:i4>0</vt:i4>
  </property>
</Properties>
</file>